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cicotte\Documents\Original Copies\Budget and Finance OC\26-Citizen's Dashboard\"/>
    </mc:Choice>
  </mc:AlternateContent>
  <xr:revisionPtr revIDLastSave="0" documentId="13_ncr:1_{A9980E76-9106-4351-AD6A-A3AA1AE46258}" xr6:coauthVersionLast="47" xr6:coauthVersionMax="47" xr10:uidLastSave="{00000000-0000-0000-0000-000000000000}"/>
  <bookViews>
    <workbookView xWindow="28680" yWindow="-120" windowWidth="29040" windowHeight="16440" tabRatio="500" xr2:uid="{3227433E-FE3C-43B2-9B14-B564417565C8}"/>
  </bookViews>
  <sheets>
    <sheet name="2023" sheetId="28" r:id="rId1"/>
  </sheets>
  <definedNames>
    <definedName name="_xlnm._FilterDatabase" localSheetId="0" hidden="1">'2023'!$A$8:$CH$8</definedName>
    <definedName name="_xlnm.Print_Area" localSheetId="0">'2023'!$A$1:$BZ$108</definedName>
    <definedName name="_xlnm.Print_Titles" localSheetId="0">'2023'!$A:$F,'2023'!$5:$8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6" i="28" l="1"/>
  <c r="K47" i="28"/>
  <c r="BV84" i="28"/>
  <c r="BW84" i="28"/>
  <c r="BZ122" i="28"/>
  <c r="BY122" i="28"/>
  <c r="BW121" i="28"/>
  <c r="BV121" i="28"/>
  <c r="BX121" i="28" s="1"/>
  <c r="BZ120" i="28"/>
  <c r="CA120" i="28" s="1"/>
  <c r="BY120" i="28"/>
  <c r="BV120" i="28"/>
  <c r="BZ119" i="28"/>
  <c r="BY119" i="28"/>
  <c r="BV119" i="28"/>
  <c r="BZ118" i="28"/>
  <c r="BY118" i="28"/>
  <c r="BV118" i="28"/>
  <c r="BZ117" i="28"/>
  <c r="BY117" i="28"/>
  <c r="BV117" i="28"/>
  <c r="BZ116" i="28"/>
  <c r="BY116" i="28"/>
  <c r="CA116" i="28" s="1"/>
  <c r="BV116" i="28"/>
  <c r="BZ115" i="28"/>
  <c r="BY115" i="28"/>
  <c r="BV115" i="28"/>
  <c r="BZ114" i="28"/>
  <c r="CA114" i="28" s="1"/>
  <c r="BY114" i="28"/>
  <c r="BV114" i="28"/>
  <c r="BZ113" i="28"/>
  <c r="BY113" i="28"/>
  <c r="BV113" i="28"/>
  <c r="BZ112" i="28"/>
  <c r="BY112" i="28"/>
  <c r="BV112" i="28"/>
  <c r="BY121" i="28"/>
  <c r="CA121" i="28" s="1"/>
  <c r="K65" i="28"/>
  <c r="BV65" i="28" s="1"/>
  <c r="BW66" i="28"/>
  <c r="BV66" i="28"/>
  <c r="BX66" i="28" s="1"/>
  <c r="BW61" i="28"/>
  <c r="BV61" i="28"/>
  <c r="BV62" i="28"/>
  <c r="BW39" i="28"/>
  <c r="BV39" i="28"/>
  <c r="BW38" i="28"/>
  <c r="BV38" i="28"/>
  <c r="H47" i="28"/>
  <c r="H49" i="28"/>
  <c r="H53" i="28"/>
  <c r="H54" i="28"/>
  <c r="H51" i="28"/>
  <c r="BW86" i="28"/>
  <c r="BW87" i="28" s="1"/>
  <c r="BV86" i="28"/>
  <c r="BW85" i="28"/>
  <c r="BV85" i="28"/>
  <c r="BW81" i="28"/>
  <c r="BW80" i="28"/>
  <c r="BV81" i="28"/>
  <c r="BV82" i="28" s="1"/>
  <c r="BV80" i="28"/>
  <c r="BW76" i="28"/>
  <c r="BV76" i="28"/>
  <c r="BX76" i="28" s="1"/>
  <c r="BV75" i="28"/>
  <c r="BV77" i="28" s="1"/>
  <c r="BV74" i="28"/>
  <c r="BW11" i="28"/>
  <c r="BW12" i="28"/>
  <c r="BX12" i="28" s="1"/>
  <c r="BW13" i="28"/>
  <c r="BX13" i="28" s="1"/>
  <c r="BW14" i="28"/>
  <c r="BW15" i="28"/>
  <c r="BW16" i="28"/>
  <c r="BW17" i="28"/>
  <c r="BW18" i="28"/>
  <c r="BW24" i="28"/>
  <c r="BW25" i="28"/>
  <c r="BV29" i="28"/>
  <c r="BV26" i="28"/>
  <c r="BV25" i="28"/>
  <c r="BV27" i="28" s="1"/>
  <c r="BV24" i="28"/>
  <c r="BV21" i="28"/>
  <c r="BV22" i="28" s="1"/>
  <c r="BV18" i="28"/>
  <c r="BV17" i="28"/>
  <c r="BX17" i="28" s="1"/>
  <c r="BV16" i="28"/>
  <c r="BV15" i="28"/>
  <c r="BV14" i="28"/>
  <c r="BV13" i="28"/>
  <c r="BV11" i="28"/>
  <c r="BV12" i="28"/>
  <c r="H19" i="28"/>
  <c r="I19" i="28"/>
  <c r="K19" i="28"/>
  <c r="L19" i="28"/>
  <c r="BT122" i="28"/>
  <c r="BS122" i="28"/>
  <c r="BQ122" i="28"/>
  <c r="BR122" i="28"/>
  <c r="BN122" i="28"/>
  <c r="BO122" i="28" s="1"/>
  <c r="BK122" i="28"/>
  <c r="BL122" i="28" s="1"/>
  <c r="BH122" i="28"/>
  <c r="BI122" i="28"/>
  <c r="BE122" i="28"/>
  <c r="BF122" i="28" s="1"/>
  <c r="BB122" i="28"/>
  <c r="BC122" i="28" s="1"/>
  <c r="AY122" i="28"/>
  <c r="AZ122" i="28" s="1"/>
  <c r="AV122" i="28"/>
  <c r="AW122" i="28" s="1"/>
  <c r="AS122" i="28"/>
  <c r="AT122" i="28" s="1"/>
  <c r="AP122" i="28"/>
  <c r="AQ122" i="28" s="1"/>
  <c r="AM122" i="28"/>
  <c r="AN122" i="28" s="1"/>
  <c r="AJ122" i="28"/>
  <c r="AK122" i="28"/>
  <c r="AG122" i="28"/>
  <c r="AH122" i="28" s="1"/>
  <c r="AD122" i="28"/>
  <c r="AE122" i="28" s="1"/>
  <c r="AA122" i="28"/>
  <c r="AB122" i="28"/>
  <c r="X122" i="28"/>
  <c r="Y122" i="28"/>
  <c r="U122" i="28"/>
  <c r="V122" i="28" s="1"/>
  <c r="R122" i="28"/>
  <c r="S122" i="28" s="1"/>
  <c r="O122" i="28"/>
  <c r="P122" i="28" s="1"/>
  <c r="L122" i="28"/>
  <c r="M122" i="28" s="1"/>
  <c r="M57" i="28" s="1"/>
  <c r="I122" i="28"/>
  <c r="J122" i="28" s="1"/>
  <c r="BU121" i="28"/>
  <c r="BR121" i="28"/>
  <c r="BO121" i="28"/>
  <c r="BL121" i="28"/>
  <c r="BI121" i="28"/>
  <c r="BF121" i="28"/>
  <c r="BC121" i="28"/>
  <c r="AZ121" i="28"/>
  <c r="AW121" i="28"/>
  <c r="AT121" i="28"/>
  <c r="AQ121" i="28"/>
  <c r="AN121" i="28"/>
  <c r="AK121" i="28"/>
  <c r="AH121" i="28"/>
  <c r="AE121" i="28"/>
  <c r="AB121" i="28"/>
  <c r="Y121" i="28"/>
  <c r="V121" i="28"/>
  <c r="S121" i="28"/>
  <c r="P121" i="28"/>
  <c r="M121" i="28"/>
  <c r="J121" i="28"/>
  <c r="BU120" i="28"/>
  <c r="BQ120" i="28"/>
  <c r="BR120" i="28" s="1"/>
  <c r="BN120" i="28"/>
  <c r="BO120" i="28"/>
  <c r="BK120" i="28"/>
  <c r="BL120" i="28" s="1"/>
  <c r="BH120" i="28"/>
  <c r="BI120" i="28" s="1"/>
  <c r="BE120" i="28"/>
  <c r="BF120" i="28" s="1"/>
  <c r="BB120" i="28"/>
  <c r="BC120" i="28"/>
  <c r="AY120" i="28"/>
  <c r="AZ120" i="28"/>
  <c r="AV120" i="28"/>
  <c r="AW120" i="28"/>
  <c r="AS120" i="28"/>
  <c r="AT120" i="28"/>
  <c r="AP120" i="28"/>
  <c r="AQ120" i="28" s="1"/>
  <c r="AM120" i="28"/>
  <c r="AN120" i="28"/>
  <c r="AJ120" i="28"/>
  <c r="AK120" i="28"/>
  <c r="AG120" i="28"/>
  <c r="AH120" i="28"/>
  <c r="AD120" i="28"/>
  <c r="AE120" i="28"/>
  <c r="AA120" i="28"/>
  <c r="AB120" i="28"/>
  <c r="X120" i="28"/>
  <c r="Y120" i="28"/>
  <c r="U120" i="28"/>
  <c r="V120" i="28" s="1"/>
  <c r="R120" i="28"/>
  <c r="S120" i="28"/>
  <c r="O120" i="28"/>
  <c r="P120" i="28"/>
  <c r="L120" i="28"/>
  <c r="M120" i="28"/>
  <c r="I120" i="28"/>
  <c r="J120" i="28"/>
  <c r="BU119" i="28"/>
  <c r="BR119" i="28"/>
  <c r="BO119" i="28"/>
  <c r="BL119" i="28"/>
  <c r="BI119" i="28"/>
  <c r="BF119" i="28"/>
  <c r="BC119" i="28"/>
  <c r="AY119" i="28"/>
  <c r="AZ119" i="28" s="1"/>
  <c r="AV119" i="28"/>
  <c r="AW119" i="28" s="1"/>
  <c r="AS119" i="28"/>
  <c r="AT119" i="28" s="1"/>
  <c r="AP119" i="28"/>
  <c r="AM119" i="28"/>
  <c r="AJ119" i="28"/>
  <c r="AK119" i="28" s="1"/>
  <c r="AG119" i="28"/>
  <c r="AH119" i="28"/>
  <c r="AD119" i="28"/>
  <c r="AE119" i="28"/>
  <c r="AA119" i="28"/>
  <c r="AB119" i="28" s="1"/>
  <c r="X119" i="28"/>
  <c r="Y119" i="28"/>
  <c r="U119" i="28"/>
  <c r="R119" i="28"/>
  <c r="S119" i="28" s="1"/>
  <c r="O119" i="28"/>
  <c r="P119" i="28" s="1"/>
  <c r="L119" i="28"/>
  <c r="M119" i="28"/>
  <c r="M54" i="28" s="1"/>
  <c r="I119" i="28"/>
  <c r="J119" i="28" s="1"/>
  <c r="BU118" i="28"/>
  <c r="BR118" i="28"/>
  <c r="BO118" i="28"/>
  <c r="BL118" i="28"/>
  <c r="BI118" i="28"/>
  <c r="BF118" i="28"/>
  <c r="BC118" i="28"/>
  <c r="AZ118" i="28"/>
  <c r="AW118" i="28"/>
  <c r="AS118" i="28"/>
  <c r="AT118" i="28" s="1"/>
  <c r="AP118" i="28"/>
  <c r="AQ118" i="28"/>
  <c r="AM118" i="28"/>
  <c r="AN118" i="28"/>
  <c r="AJ118" i="28"/>
  <c r="AK118" i="28"/>
  <c r="AG118" i="28"/>
  <c r="AH118" i="28"/>
  <c r="AD118" i="28"/>
  <c r="AE118" i="28" s="1"/>
  <c r="AA118" i="28"/>
  <c r="X118" i="28"/>
  <c r="Y118" i="28" s="1"/>
  <c r="U118" i="28"/>
  <c r="V118" i="28" s="1"/>
  <c r="R118" i="28"/>
  <c r="S118" i="28" s="1"/>
  <c r="O118" i="28"/>
  <c r="P118" i="28"/>
  <c r="L118" i="28"/>
  <c r="L53" i="28" s="1"/>
  <c r="I118" i="28"/>
  <c r="BU117" i="28"/>
  <c r="BR117" i="28"/>
  <c r="BO117" i="28"/>
  <c r="BL117" i="28"/>
  <c r="BI117" i="28"/>
  <c r="BF117" i="28"/>
  <c r="BC117" i="28"/>
  <c r="AZ117" i="28"/>
  <c r="AW117" i="28"/>
  <c r="AT117" i="28"/>
  <c r="AQ117" i="28"/>
  <c r="AM117" i="28"/>
  <c r="AN117" i="28" s="1"/>
  <c r="AJ117" i="28"/>
  <c r="AK117" i="28" s="1"/>
  <c r="AG117" i="28"/>
  <c r="AH117" i="28"/>
  <c r="AD117" i="28"/>
  <c r="AE117" i="28" s="1"/>
  <c r="AA117" i="28"/>
  <c r="AB117" i="28"/>
  <c r="X117" i="28"/>
  <c r="Y117" i="28" s="1"/>
  <c r="U117" i="28"/>
  <c r="V117" i="28" s="1"/>
  <c r="R117" i="28"/>
  <c r="S117" i="28"/>
  <c r="O117" i="28"/>
  <c r="P117" i="28"/>
  <c r="L117" i="28"/>
  <c r="I117" i="28"/>
  <c r="BU116" i="28"/>
  <c r="BR116" i="28"/>
  <c r="BO116" i="28"/>
  <c r="BL116" i="28"/>
  <c r="BI116" i="28"/>
  <c r="BF116" i="28"/>
  <c r="BC116" i="28"/>
  <c r="AZ116" i="28"/>
  <c r="AW116" i="28"/>
  <c r="AT116" i="28"/>
  <c r="AQ116" i="28"/>
  <c r="AN116" i="28"/>
  <c r="AK116" i="28"/>
  <c r="AH116" i="28"/>
  <c r="AE116" i="28"/>
  <c r="AA116" i="28"/>
  <c r="AB116" i="28"/>
  <c r="X116" i="28"/>
  <c r="Y116" i="28" s="1"/>
  <c r="U116" i="28"/>
  <c r="R116" i="28"/>
  <c r="S116" i="28" s="1"/>
  <c r="O116" i="28"/>
  <c r="P116" i="28" s="1"/>
  <c r="L116" i="28"/>
  <c r="M116" i="28"/>
  <c r="I116" i="28"/>
  <c r="I51" i="28" s="1"/>
  <c r="BU115" i="28"/>
  <c r="BR115" i="28"/>
  <c r="BO115" i="28"/>
  <c r="BL115" i="28"/>
  <c r="BI115" i="28"/>
  <c r="BF115" i="28"/>
  <c r="BC115" i="28"/>
  <c r="AZ115" i="28"/>
  <c r="AW115" i="28"/>
  <c r="AT115" i="28"/>
  <c r="AQ115" i="28"/>
  <c r="AN115" i="28"/>
  <c r="AH115" i="28"/>
  <c r="AD115" i="28"/>
  <c r="AA115" i="28"/>
  <c r="X115" i="28"/>
  <c r="Y115" i="28" s="1"/>
  <c r="U115" i="28"/>
  <c r="V115" i="28"/>
  <c r="R115" i="28"/>
  <c r="S115" i="28" s="1"/>
  <c r="O115" i="28"/>
  <c r="P115" i="28" s="1"/>
  <c r="L115" i="28"/>
  <c r="M115" i="28"/>
  <c r="I115" i="28"/>
  <c r="J115" i="28"/>
  <c r="BU114" i="28"/>
  <c r="BR114" i="28"/>
  <c r="BO114" i="28"/>
  <c r="BL114" i="28"/>
  <c r="BI114" i="28"/>
  <c r="BF114" i="28"/>
  <c r="BC114" i="28"/>
  <c r="AZ114" i="28"/>
  <c r="AW114" i="28"/>
  <c r="AT114" i="28"/>
  <c r="AQ114" i="28"/>
  <c r="AN114" i="28"/>
  <c r="AH114" i="28"/>
  <c r="AD114" i="28"/>
  <c r="AE114" i="28" s="1"/>
  <c r="AA114" i="28"/>
  <c r="X114" i="28"/>
  <c r="Y114" i="28" s="1"/>
  <c r="U114" i="28"/>
  <c r="V114" i="28" s="1"/>
  <c r="R114" i="28"/>
  <c r="S114" i="28"/>
  <c r="O114" i="28"/>
  <c r="P114" i="28"/>
  <c r="L114" i="28"/>
  <c r="M114" i="28" s="1"/>
  <c r="M49" i="28" s="1"/>
  <c r="I114" i="28"/>
  <c r="J114" i="28" s="1"/>
  <c r="BU113" i="28"/>
  <c r="BR113" i="28"/>
  <c r="BO113" i="28"/>
  <c r="BL113" i="28"/>
  <c r="BI113" i="28"/>
  <c r="BF113" i="28"/>
  <c r="BC113" i="28"/>
  <c r="AZ113" i="28"/>
  <c r="AW113" i="28"/>
  <c r="AT113" i="28"/>
  <c r="AQ113" i="28"/>
  <c r="AN113" i="28"/>
  <c r="AK113" i="28"/>
  <c r="AH113" i="28"/>
  <c r="AD113" i="28"/>
  <c r="AE113" i="28"/>
  <c r="AA113" i="28"/>
  <c r="AB113" i="28" s="1"/>
  <c r="X113" i="28"/>
  <c r="Y113" i="28" s="1"/>
  <c r="U113" i="28"/>
  <c r="R113" i="28"/>
  <c r="S113" i="28" s="1"/>
  <c r="O113" i="28"/>
  <c r="P113" i="28"/>
  <c r="L113" i="28"/>
  <c r="M113" i="28"/>
  <c r="I113" i="28"/>
  <c r="BU112" i="28"/>
  <c r="BR112" i="28"/>
  <c r="BO112" i="28"/>
  <c r="BL112" i="28"/>
  <c r="BI112" i="28"/>
  <c r="BF112" i="28"/>
  <c r="BC112" i="28"/>
  <c r="AZ112" i="28"/>
  <c r="AW112" i="28"/>
  <c r="AT112" i="28"/>
  <c r="AQ112" i="28"/>
  <c r="AN112" i="28"/>
  <c r="AK112" i="28"/>
  <c r="AH112" i="28"/>
  <c r="AE112" i="28"/>
  <c r="AB112" i="28"/>
  <c r="Y112" i="28"/>
  <c r="U112" i="28"/>
  <c r="R112" i="28"/>
  <c r="S112" i="28" s="1"/>
  <c r="O112" i="28"/>
  <c r="P112" i="28" s="1"/>
  <c r="L112" i="28"/>
  <c r="I112" i="28"/>
  <c r="I111" i="28"/>
  <c r="I56" i="28"/>
  <c r="AQ88" i="28"/>
  <c r="AN88" i="28"/>
  <c r="AK88" i="28"/>
  <c r="AH88" i="28"/>
  <c r="AE88" i="28"/>
  <c r="AB88" i="28"/>
  <c r="Y88" i="28"/>
  <c r="V88" i="28"/>
  <c r="S88" i="28"/>
  <c r="P88" i="28"/>
  <c r="M88" i="28"/>
  <c r="J88" i="28"/>
  <c r="BU87" i="28"/>
  <c r="BU90" i="28"/>
  <c r="BT87" i="28"/>
  <c r="BT90" i="28" s="1"/>
  <c r="BS87" i="28"/>
  <c r="BS90" i="28"/>
  <c r="BR87" i="28"/>
  <c r="BR90" i="28"/>
  <c r="BQ87" i="28"/>
  <c r="BQ90" i="28"/>
  <c r="BP87" i="28"/>
  <c r="BP90" i="28"/>
  <c r="BO87" i="28"/>
  <c r="BO90" i="28" s="1"/>
  <c r="BN87" i="28"/>
  <c r="BN90" i="28" s="1"/>
  <c r="BM87" i="28"/>
  <c r="BM90" i="28"/>
  <c r="BL87" i="28"/>
  <c r="BL90" i="28" s="1"/>
  <c r="BK87" i="28"/>
  <c r="BK90" i="28" s="1"/>
  <c r="BJ87" i="28"/>
  <c r="BJ90" i="28" s="1"/>
  <c r="BI87" i="28"/>
  <c r="BI90" i="28"/>
  <c r="BH87" i="28"/>
  <c r="BH90" i="28" s="1"/>
  <c r="BG87" i="28"/>
  <c r="BG90" i="28"/>
  <c r="BF87" i="28"/>
  <c r="BF90" i="28"/>
  <c r="BE87" i="28"/>
  <c r="BE90" i="28" s="1"/>
  <c r="BD87" i="28"/>
  <c r="BD90" i="28" s="1"/>
  <c r="BC87" i="28"/>
  <c r="BC90" i="28" s="1"/>
  <c r="BB87" i="28"/>
  <c r="BB90" i="28" s="1"/>
  <c r="BA87" i="28"/>
  <c r="BA90" i="28" s="1"/>
  <c r="AZ87" i="28"/>
  <c r="AZ90" i="28"/>
  <c r="AY87" i="28"/>
  <c r="AY90" i="28"/>
  <c r="AX87" i="28"/>
  <c r="AX90" i="28"/>
  <c r="AW87" i="28"/>
  <c r="AW90" i="28" s="1"/>
  <c r="AV87" i="28"/>
  <c r="AV90" i="28"/>
  <c r="AU87" i="28"/>
  <c r="AU90" i="28"/>
  <c r="AT87" i="28"/>
  <c r="AT90" i="28" s="1"/>
  <c r="AS87" i="28"/>
  <c r="AS90" i="28"/>
  <c r="AR87" i="28"/>
  <c r="AR90" i="28"/>
  <c r="AP87" i="28"/>
  <c r="AO87" i="28"/>
  <c r="AM87" i="28"/>
  <c r="AL87" i="28"/>
  <c r="AL90" i="28" s="1"/>
  <c r="AJ87" i="28"/>
  <c r="AI87" i="28"/>
  <c r="AG87" i="28"/>
  <c r="AF87" i="28"/>
  <c r="AD87" i="28"/>
  <c r="AC87" i="28"/>
  <c r="AA87" i="28"/>
  <c r="Z87" i="28"/>
  <c r="X87" i="28"/>
  <c r="W87" i="28"/>
  <c r="U87" i="28"/>
  <c r="T87" i="28"/>
  <c r="R87" i="28"/>
  <c r="Q87" i="28"/>
  <c r="Q90" i="28" s="1"/>
  <c r="O87" i="28"/>
  <c r="N87" i="28"/>
  <c r="L87" i="28"/>
  <c r="K87" i="28"/>
  <c r="I87" i="28"/>
  <c r="H87" i="28"/>
  <c r="AQ86" i="28"/>
  <c r="AN86" i="28"/>
  <c r="AK86" i="28"/>
  <c r="AH86" i="28"/>
  <c r="AH87" i="28" s="1"/>
  <c r="AE86" i="28"/>
  <c r="AB86" i="28"/>
  <c r="Y86" i="28"/>
  <c r="V86" i="28"/>
  <c r="S86" i="28"/>
  <c r="P86" i="28"/>
  <c r="M86" i="28"/>
  <c r="J86" i="28"/>
  <c r="AQ85" i="28"/>
  <c r="AQ87" i="28" s="1"/>
  <c r="AN85" i="28"/>
  <c r="AN87" i="28" s="1"/>
  <c r="AK85" i="28"/>
  <c r="AH85" i="28"/>
  <c r="AE85" i="28"/>
  <c r="AB85" i="28"/>
  <c r="Y85" i="28"/>
  <c r="V85" i="28"/>
  <c r="S85" i="28"/>
  <c r="P85" i="28"/>
  <c r="P87" i="28" s="1"/>
  <c r="M85" i="28"/>
  <c r="J85" i="28"/>
  <c r="AQ84" i="28"/>
  <c r="AN84" i="28"/>
  <c r="AK84" i="28"/>
  <c r="AH84" i="28"/>
  <c r="AE84" i="28"/>
  <c r="AB84" i="28"/>
  <c r="Y84" i="28"/>
  <c r="Y87" i="28" s="1"/>
  <c r="V84" i="28"/>
  <c r="S84" i="28"/>
  <c r="P84" i="28"/>
  <c r="M84" i="28"/>
  <c r="J84" i="28"/>
  <c r="AP82" i="28"/>
  <c r="AO82" i="28"/>
  <c r="AM82" i="28"/>
  <c r="AL82" i="28"/>
  <c r="AJ82" i="28"/>
  <c r="AI82" i="28"/>
  <c r="AG82" i="28"/>
  <c r="AF82" i="28"/>
  <c r="AD82" i="28"/>
  <c r="AC82" i="28"/>
  <c r="AA82" i="28"/>
  <c r="Z82" i="28"/>
  <c r="X82" i="28"/>
  <c r="W82" i="28"/>
  <c r="U82" i="28"/>
  <c r="T82" i="28"/>
  <c r="R82" i="28"/>
  <c r="Q82" i="28"/>
  <c r="O82" i="28"/>
  <c r="N82" i="28"/>
  <c r="L82" i="28"/>
  <c r="K82" i="28"/>
  <c r="I82" i="28"/>
  <c r="H82" i="28"/>
  <c r="AQ81" i="28"/>
  <c r="AN81" i="28"/>
  <c r="AN82" i="28" s="1"/>
  <c r="AK81" i="28"/>
  <c r="AH81" i="28"/>
  <c r="AH82" i="28" s="1"/>
  <c r="AE81" i="28"/>
  <c r="AB81" i="28"/>
  <c r="Y81" i="28"/>
  <c r="V81" i="28"/>
  <c r="S81" i="28"/>
  <c r="S82" i="28" s="1"/>
  <c r="P81" i="28"/>
  <c r="M81" i="28"/>
  <c r="J81" i="28"/>
  <c r="AQ80" i="28"/>
  <c r="AQ82" i="28" s="1"/>
  <c r="AN80" i="28"/>
  <c r="AK80" i="28"/>
  <c r="AH80" i="28"/>
  <c r="AE80" i="28"/>
  <c r="AE82" i="28"/>
  <c r="AB80" i="28"/>
  <c r="AB82" i="28"/>
  <c r="Y80" i="28"/>
  <c r="Y82" i="28" s="1"/>
  <c r="V80" i="28"/>
  <c r="V82" i="28"/>
  <c r="S80" i="28"/>
  <c r="P80" i="28"/>
  <c r="P82" i="28" s="1"/>
  <c r="M80" i="28"/>
  <c r="M82" i="28"/>
  <c r="J80" i="28"/>
  <c r="AQ78" i="28"/>
  <c r="AN78" i="28"/>
  <c r="AK78" i="28"/>
  <c r="AH78" i="28"/>
  <c r="AE78" i="28"/>
  <c r="AB78" i="28"/>
  <c r="Y78" i="28"/>
  <c r="V78" i="28"/>
  <c r="S78" i="28"/>
  <c r="P78" i="28"/>
  <c r="M78" i="28"/>
  <c r="J78" i="28"/>
  <c r="AO77" i="28"/>
  <c r="AL77" i="28"/>
  <c r="AI77" i="28"/>
  <c r="AF77" i="28"/>
  <c r="AF90" i="28" s="1"/>
  <c r="AC77" i="28"/>
  <c r="AC90" i="28" s="1"/>
  <c r="Z77" i="28"/>
  <c r="Z90" i="28" s="1"/>
  <c r="W77" i="28"/>
  <c r="T77" i="28"/>
  <c r="T90" i="28" s="1"/>
  <c r="O102" i="28" s="1"/>
  <c r="Q77" i="28"/>
  <c r="N77" i="28"/>
  <c r="N90" i="28" s="1"/>
  <c r="K77" i="28"/>
  <c r="H77" i="28"/>
  <c r="H90" i="28" s="1"/>
  <c r="AQ76" i="28"/>
  <c r="AN76" i="28"/>
  <c r="AK76" i="28"/>
  <c r="AH76" i="28"/>
  <c r="AE76" i="28"/>
  <c r="AB76" i="28"/>
  <c r="Y76" i="28"/>
  <c r="V76" i="28"/>
  <c r="S76" i="28"/>
  <c r="P76" i="28"/>
  <c r="M76" i="28"/>
  <c r="J76" i="28"/>
  <c r="AQ75" i="28"/>
  <c r="AN75" i="28"/>
  <c r="AK75" i="28"/>
  <c r="AG75" i="28"/>
  <c r="AH75" i="28" s="1"/>
  <c r="AD75" i="28"/>
  <c r="AE75" i="28" s="1"/>
  <c r="AA75" i="28"/>
  <c r="AA77" i="28" s="1"/>
  <c r="AB75" i="28"/>
  <c r="X75" i="28"/>
  <c r="Y75" i="28" s="1"/>
  <c r="U75" i="28"/>
  <c r="R75" i="28"/>
  <c r="S75" i="28" s="1"/>
  <c r="O75" i="28"/>
  <c r="P75" i="28" s="1"/>
  <c r="L75" i="28"/>
  <c r="M75" i="28" s="1"/>
  <c r="I75" i="28"/>
  <c r="J75" i="28"/>
  <c r="AP74" i="28"/>
  <c r="AQ74" i="28" s="1"/>
  <c r="AM74" i="28"/>
  <c r="AN74" i="28" s="1"/>
  <c r="AJ74" i="28"/>
  <c r="AJ77" i="28" s="1"/>
  <c r="AK74" i="28"/>
  <c r="AG74" i="28"/>
  <c r="AH74" i="28" s="1"/>
  <c r="AD74" i="28"/>
  <c r="AA74" i="28"/>
  <c r="X74" i="28"/>
  <c r="Y74" i="28" s="1"/>
  <c r="U74" i="28"/>
  <c r="V74" i="28"/>
  <c r="R74" i="28"/>
  <c r="R77" i="28"/>
  <c r="R90" i="28" s="1"/>
  <c r="P101" i="28" s="1"/>
  <c r="O74" i="28"/>
  <c r="P74" i="28" s="1"/>
  <c r="L74" i="28"/>
  <c r="L77" i="28" s="1"/>
  <c r="L90" i="28" s="1"/>
  <c r="P99" i="28" s="1"/>
  <c r="I74" i="28"/>
  <c r="I77" i="28" s="1"/>
  <c r="J77" i="28" s="1"/>
  <c r="J74" i="28"/>
  <c r="AP67" i="28"/>
  <c r="AO67" i="28"/>
  <c r="AM67" i="28"/>
  <c r="AL67" i="28"/>
  <c r="AJ67" i="28"/>
  <c r="AI67" i="28"/>
  <c r="AG67" i="28"/>
  <c r="AF67" i="28"/>
  <c r="AQ66" i="28"/>
  <c r="AN66" i="28"/>
  <c r="AK66" i="28"/>
  <c r="AH66" i="28"/>
  <c r="AE66" i="28"/>
  <c r="AB66" i="28"/>
  <c r="Y66" i="28"/>
  <c r="V66" i="28"/>
  <c r="S66" i="28"/>
  <c r="P66" i="28"/>
  <c r="M66" i="28"/>
  <c r="J66" i="28"/>
  <c r="BU65" i="28"/>
  <c r="BR65" i="28"/>
  <c r="BO65" i="28"/>
  <c r="BL65" i="28"/>
  <c r="BI65" i="28"/>
  <c r="BF65" i="28"/>
  <c r="BC65" i="28"/>
  <c r="AZ65" i="28"/>
  <c r="AW65" i="28"/>
  <c r="AT65" i="28"/>
  <c r="AQ65" i="28"/>
  <c r="AN65" i="28"/>
  <c r="AK65" i="28"/>
  <c r="AH65" i="28"/>
  <c r="AE65" i="28"/>
  <c r="AB65" i="28"/>
  <c r="Y65" i="28"/>
  <c r="V65" i="28"/>
  <c r="S65" i="28"/>
  <c r="P65" i="28"/>
  <c r="L65" i="28"/>
  <c r="BW65" i="28" s="1"/>
  <c r="I65" i="28"/>
  <c r="I67" i="28" s="1"/>
  <c r="H65" i="28"/>
  <c r="AQ64" i="28"/>
  <c r="AN64" i="28"/>
  <c r="AK64" i="28"/>
  <c r="AH64" i="28"/>
  <c r="AD64" i="28"/>
  <c r="AD67" i="28" s="1"/>
  <c r="AC64" i="28"/>
  <c r="AC67" i="28"/>
  <c r="AA64" i="28"/>
  <c r="AA67" i="28" s="1"/>
  <c r="Z64" i="28"/>
  <c r="X64" i="28"/>
  <c r="X67" i="28" s="1"/>
  <c r="W64" i="28"/>
  <c r="W67" i="28" s="1"/>
  <c r="U64" i="28"/>
  <c r="U67" i="28"/>
  <c r="T64" i="28"/>
  <c r="R64" i="28"/>
  <c r="R67" i="28"/>
  <c r="Q64" i="28"/>
  <c r="Q67" i="28" s="1"/>
  <c r="O64" i="28"/>
  <c r="O67" i="28" s="1"/>
  <c r="N64" i="28"/>
  <c r="L64" i="28"/>
  <c r="K64" i="28"/>
  <c r="I64" i="28"/>
  <c r="H64" i="28"/>
  <c r="J64" i="28" s="1"/>
  <c r="BU62" i="28"/>
  <c r="BT62" i="28"/>
  <c r="BS62" i="28"/>
  <c r="BR62" i="28"/>
  <c r="BQ62" i="28"/>
  <c r="BP62" i="28"/>
  <c r="BO62" i="28"/>
  <c r="BN62" i="28"/>
  <c r="BM62" i="28"/>
  <c r="BL62" i="28"/>
  <c r="BK62" i="28"/>
  <c r="BJ62" i="28"/>
  <c r="BI62" i="28"/>
  <c r="BH62" i="28"/>
  <c r="BG62" i="28"/>
  <c r="BF62" i="28"/>
  <c r="BE62" i="28"/>
  <c r="BD62" i="28"/>
  <c r="BC62" i="28"/>
  <c r="BB62" i="28"/>
  <c r="BA62" i="28"/>
  <c r="AZ62" i="28"/>
  <c r="AY62" i="28"/>
  <c r="AX62" i="28"/>
  <c r="AW62" i="28"/>
  <c r="AV62" i="28"/>
  <c r="AU62" i="28"/>
  <c r="AT62" i="28"/>
  <c r="AS62" i="28"/>
  <c r="AR62" i="28"/>
  <c r="AP62" i="28"/>
  <c r="AO62" i="28"/>
  <c r="AM62" i="28"/>
  <c r="AL62" i="28"/>
  <c r="AJ62" i="28"/>
  <c r="AI62" i="28"/>
  <c r="AG62" i="28"/>
  <c r="AF62" i="28"/>
  <c r="AD62" i="28"/>
  <c r="AC62" i="28"/>
  <c r="AA62" i="28"/>
  <c r="Z62" i="28"/>
  <c r="X62" i="28"/>
  <c r="W62" i="28"/>
  <c r="U62" i="28"/>
  <c r="T62" i="28"/>
  <c r="R62" i="28"/>
  <c r="Q62" i="28"/>
  <c r="O62" i="28"/>
  <c r="N62" i="28"/>
  <c r="L62" i="28"/>
  <c r="K62" i="28"/>
  <c r="I62" i="28"/>
  <c r="H62" i="28"/>
  <c r="BW62" i="28"/>
  <c r="AQ61" i="28"/>
  <c r="AQ62" i="28" s="1"/>
  <c r="AN61" i="28"/>
  <c r="AN62" i="28"/>
  <c r="AK61" i="28"/>
  <c r="AK62" i="28" s="1"/>
  <c r="AH61" i="28"/>
  <c r="AH62" i="28" s="1"/>
  <c r="AE61" i="28"/>
  <c r="AE62" i="28"/>
  <c r="AB61" i="28"/>
  <c r="AB62" i="28" s="1"/>
  <c r="Y61" i="28"/>
  <c r="Y62" i="28" s="1"/>
  <c r="V61" i="28"/>
  <c r="V62" i="28"/>
  <c r="S61" i="28"/>
  <c r="S62" i="28" s="1"/>
  <c r="P61" i="28"/>
  <c r="P62" i="28" s="1"/>
  <c r="M61" i="28"/>
  <c r="M62" i="28" s="1"/>
  <c r="J61" i="28"/>
  <c r="J62" i="28"/>
  <c r="H57" i="28"/>
  <c r="H56" i="28"/>
  <c r="H55" i="28"/>
  <c r="H52" i="28"/>
  <c r="H50" i="28"/>
  <c r="H48" i="28"/>
  <c r="AP45" i="28"/>
  <c r="AO45" i="28"/>
  <c r="AM45" i="28"/>
  <c r="AL45" i="28"/>
  <c r="AJ45" i="28"/>
  <c r="AI45" i="28"/>
  <c r="AG45" i="28"/>
  <c r="AF45" i="28"/>
  <c r="AD45" i="28"/>
  <c r="AC45" i="28"/>
  <c r="AA45" i="28"/>
  <c r="Z45" i="28"/>
  <c r="AQ44" i="28"/>
  <c r="AQ45" i="28" s="1"/>
  <c r="AN44" i="28"/>
  <c r="AN45" i="28" s="1"/>
  <c r="AK44" i="28"/>
  <c r="AK45" i="28"/>
  <c r="AH44" i="28"/>
  <c r="AH45" i="28" s="1"/>
  <c r="AE44" i="28"/>
  <c r="AE45" i="28"/>
  <c r="AB44" i="28"/>
  <c r="AB45" i="28"/>
  <c r="X44" i="28"/>
  <c r="X45" i="28" s="1"/>
  <c r="W44" i="28"/>
  <c r="U44" i="28"/>
  <c r="T44" i="28"/>
  <c r="R44" i="28"/>
  <c r="R45" i="28" s="1"/>
  <c r="Q44" i="28"/>
  <c r="Q45" i="28" s="1"/>
  <c r="O44" i="28"/>
  <c r="O45" i="28" s="1"/>
  <c r="N44" i="28"/>
  <c r="N45" i="28" s="1"/>
  <c r="L44" i="28"/>
  <c r="M44" i="28" s="1"/>
  <c r="M45" i="28" s="1"/>
  <c r="K44" i="28"/>
  <c r="I44" i="28"/>
  <c r="I45" i="28" s="1"/>
  <c r="H44" i="28"/>
  <c r="J44" i="28" s="1"/>
  <c r="J45" i="28" s="1"/>
  <c r="H45" i="28"/>
  <c r="AP41" i="28"/>
  <c r="AO41" i="28"/>
  <c r="AM41" i="28"/>
  <c r="AL41" i="28"/>
  <c r="AJ41" i="28"/>
  <c r="AI41" i="28"/>
  <c r="AG41" i="28"/>
  <c r="AF41" i="28"/>
  <c r="AD41" i="28"/>
  <c r="AC41" i="28"/>
  <c r="AA41" i="28"/>
  <c r="Z41" i="28"/>
  <c r="X41" i="28"/>
  <c r="W41" i="28"/>
  <c r="U41" i="28"/>
  <c r="T41" i="28"/>
  <c r="R41" i="28"/>
  <c r="Q41" i="28"/>
  <c r="O41" i="28"/>
  <c r="N41" i="28"/>
  <c r="L41" i="28"/>
  <c r="K41" i="28"/>
  <c r="I41" i="28"/>
  <c r="H41" i="28"/>
  <c r="AQ39" i="28"/>
  <c r="AN39" i="28"/>
  <c r="AK39" i="28"/>
  <c r="AH39" i="28"/>
  <c r="AH41" i="28" s="1"/>
  <c r="AE39" i="28"/>
  <c r="AB39" i="28"/>
  <c r="Y39" i="28"/>
  <c r="V39" i="28"/>
  <c r="S39" i="28"/>
  <c r="P39" i="28"/>
  <c r="M39" i="28"/>
  <c r="J39" i="28"/>
  <c r="J41" i="28" s="1"/>
  <c r="AQ38" i="28"/>
  <c r="AQ41" i="28" s="1"/>
  <c r="AN38" i="28"/>
  <c r="AK38" i="28"/>
  <c r="AH38" i="28"/>
  <c r="AE38" i="28"/>
  <c r="AB38" i="28"/>
  <c r="AB41" i="28" s="1"/>
  <c r="Y38" i="28"/>
  <c r="V38" i="28"/>
  <c r="S38" i="28"/>
  <c r="P38" i="28"/>
  <c r="P41" i="28"/>
  <c r="M38" i="28"/>
  <c r="J38" i="28"/>
  <c r="BX31" i="28"/>
  <c r="BT30" i="28"/>
  <c r="BS30" i="28"/>
  <c r="BS32" i="28" s="1"/>
  <c r="BQ30" i="28"/>
  <c r="BP30" i="28"/>
  <c r="BR30" i="28" s="1"/>
  <c r="BN30" i="28"/>
  <c r="BN32" i="28" s="1"/>
  <c r="BM30" i="28"/>
  <c r="BK30" i="28"/>
  <c r="BJ30" i="28"/>
  <c r="BH30" i="28"/>
  <c r="BG30" i="28"/>
  <c r="BE30" i="28"/>
  <c r="BD30" i="28"/>
  <c r="BB30" i="28"/>
  <c r="BA30" i="28"/>
  <c r="BC30" i="28" s="1"/>
  <c r="AY30" i="28"/>
  <c r="AX30" i="28"/>
  <c r="AV30" i="28"/>
  <c r="AU30" i="28"/>
  <c r="AS30" i="28"/>
  <c r="AR30" i="28"/>
  <c r="AP30" i="28"/>
  <c r="AO30" i="28"/>
  <c r="AQ30" i="28" s="1"/>
  <c r="AM30" i="28"/>
  <c r="AL30" i="28"/>
  <c r="AJ30" i="28"/>
  <c r="AI30" i="28"/>
  <c r="AG30" i="28"/>
  <c r="AH30" i="28" s="1"/>
  <c r="AF30" i="28"/>
  <c r="AC30" i="28"/>
  <c r="AE30" i="28" s="1"/>
  <c r="Z30" i="28"/>
  <c r="W30" i="28"/>
  <c r="T30" i="28"/>
  <c r="Q30" i="28"/>
  <c r="N30" i="28"/>
  <c r="K30" i="28"/>
  <c r="H30" i="28"/>
  <c r="BV30" i="28"/>
  <c r="AQ29" i="28"/>
  <c r="AN29" i="28"/>
  <c r="AK29" i="28"/>
  <c r="AH29" i="28"/>
  <c r="AD29" i="28"/>
  <c r="AE29" i="28"/>
  <c r="AA29" i="28"/>
  <c r="AB29" i="28" s="1"/>
  <c r="X29" i="28"/>
  <c r="U29" i="28"/>
  <c r="V29" i="28" s="1"/>
  <c r="R29" i="28"/>
  <c r="S29" i="28"/>
  <c r="O29" i="28"/>
  <c r="O30" i="28" s="1"/>
  <c r="L29" i="28"/>
  <c r="M29" i="28" s="1"/>
  <c r="I29" i="28"/>
  <c r="J29" i="28" s="1"/>
  <c r="BU27" i="28"/>
  <c r="BT27" i="28"/>
  <c r="BT32" i="28" s="1"/>
  <c r="BS27" i="28"/>
  <c r="BR27" i="28"/>
  <c r="BQ27" i="28"/>
  <c r="BP27" i="28"/>
  <c r="BO27" i="28"/>
  <c r="BN27" i="28"/>
  <c r="BM27" i="28"/>
  <c r="BL27" i="28"/>
  <c r="BK27" i="28"/>
  <c r="BJ27" i="28"/>
  <c r="BI27" i="28"/>
  <c r="BH27" i="28"/>
  <c r="BG27" i="28"/>
  <c r="BF27" i="28"/>
  <c r="BE27" i="28"/>
  <c r="BD27" i="28"/>
  <c r="BD32" i="28" s="1"/>
  <c r="BC27" i="28"/>
  <c r="BB27" i="28"/>
  <c r="BA27" i="28"/>
  <c r="AZ27" i="28"/>
  <c r="AY27" i="28"/>
  <c r="AX27" i="28"/>
  <c r="AW27" i="28"/>
  <c r="AV27" i="28"/>
  <c r="AU27" i="28"/>
  <c r="AT27" i="28"/>
  <c r="AS27" i="28"/>
  <c r="AR27" i="28"/>
  <c r="AP27" i="28"/>
  <c r="AO27" i="28"/>
  <c r="AM27" i="28"/>
  <c r="AL27" i="28"/>
  <c r="AJ27" i="28"/>
  <c r="AI27" i="28"/>
  <c r="AG27" i="28"/>
  <c r="AF27" i="28"/>
  <c r="AD27" i="28"/>
  <c r="AC27" i="28"/>
  <c r="AA27" i="28"/>
  <c r="Z27" i="28"/>
  <c r="X27" i="28"/>
  <c r="W27" i="28"/>
  <c r="U27" i="28"/>
  <c r="T27" i="28"/>
  <c r="R27" i="28"/>
  <c r="Q27" i="28"/>
  <c r="O27" i="28"/>
  <c r="N27" i="28"/>
  <c r="K27" i="28"/>
  <c r="H27" i="28"/>
  <c r="AQ26" i="28"/>
  <c r="AN26" i="28"/>
  <c r="AK26" i="28"/>
  <c r="AH26" i="28"/>
  <c r="AE26" i="28"/>
  <c r="AB26" i="28"/>
  <c r="Y26" i="28"/>
  <c r="V26" i="28"/>
  <c r="S26" i="28"/>
  <c r="P26" i="28"/>
  <c r="L26" i="28"/>
  <c r="L27" i="28" s="1"/>
  <c r="L32" i="28" s="1"/>
  <c r="J99" i="28" s="1"/>
  <c r="I26" i="28"/>
  <c r="J26" i="28"/>
  <c r="AQ25" i="28"/>
  <c r="AN25" i="28"/>
  <c r="AK25" i="28"/>
  <c r="AH25" i="28"/>
  <c r="AE25" i="28"/>
  <c r="AB25" i="28"/>
  <c r="Y25" i="28"/>
  <c r="V25" i="28"/>
  <c r="S25" i="28"/>
  <c r="P25" i="28"/>
  <c r="M25" i="28"/>
  <c r="J25" i="28"/>
  <c r="AQ24" i="28"/>
  <c r="AQ27" i="28"/>
  <c r="AN24" i="28"/>
  <c r="AK24" i="28"/>
  <c r="AH24" i="28"/>
  <c r="AH27" i="28" s="1"/>
  <c r="AE24" i="28"/>
  <c r="AB24" i="28"/>
  <c r="Y24" i="28"/>
  <c r="V24" i="28"/>
  <c r="S24" i="28"/>
  <c r="P24" i="28"/>
  <c r="P27" i="28"/>
  <c r="M24" i="28"/>
  <c r="I24" i="28"/>
  <c r="J24" i="28"/>
  <c r="BX23" i="28"/>
  <c r="BU22" i="28"/>
  <c r="BT22" i="28"/>
  <c r="BS22" i="28"/>
  <c r="BR22" i="28"/>
  <c r="BQ22" i="28"/>
  <c r="BP22" i="28"/>
  <c r="BO22" i="28"/>
  <c r="BN22" i="28"/>
  <c r="BM22" i="28"/>
  <c r="BM32" i="28" s="1"/>
  <c r="BL22" i="28"/>
  <c r="BK22" i="28"/>
  <c r="BJ22" i="28"/>
  <c r="BI22" i="28"/>
  <c r="BH22" i="28"/>
  <c r="BG22" i="28"/>
  <c r="BF22" i="28"/>
  <c r="BE22" i="28"/>
  <c r="BD22" i="28"/>
  <c r="BC22" i="28"/>
  <c r="BB22" i="28"/>
  <c r="BB32" i="28" s="1"/>
  <c r="BA22" i="28"/>
  <c r="AY22" i="28"/>
  <c r="AX22" i="28"/>
  <c r="AX32" i="28" s="1"/>
  <c r="AU22" i="28"/>
  <c r="AR22" i="28"/>
  <c r="AR32" i="28" s="1"/>
  <c r="AO22" i="28"/>
  <c r="AL22" i="28"/>
  <c r="AI22" i="28"/>
  <c r="AF22" i="28"/>
  <c r="AC22" i="28"/>
  <c r="Z22" i="28"/>
  <c r="W22" i="28"/>
  <c r="T22" i="28"/>
  <c r="Q22" i="28"/>
  <c r="Q32" i="28" s="1"/>
  <c r="I101" i="28" s="1"/>
  <c r="N22" i="28"/>
  <c r="K22" i="28"/>
  <c r="H22" i="28"/>
  <c r="H32" i="28" s="1"/>
  <c r="AZ21" i="28"/>
  <c r="AZ22" i="28" s="1"/>
  <c r="AV21" i="28"/>
  <c r="AW21" i="28" s="1"/>
  <c r="AW22" i="28" s="1"/>
  <c r="AS21" i="28"/>
  <c r="AT21" i="28" s="1"/>
  <c r="AS22" i="28"/>
  <c r="AP21" i="28"/>
  <c r="AP22" i="28"/>
  <c r="AM21" i="28"/>
  <c r="AJ21" i="28"/>
  <c r="AG21" i="28"/>
  <c r="AH21" i="28" s="1"/>
  <c r="AG22" i="28"/>
  <c r="AD21" i="28"/>
  <c r="AA21" i="28"/>
  <c r="AA22" i="28" s="1"/>
  <c r="X21" i="28"/>
  <c r="U21" i="28"/>
  <c r="U22" i="28" s="1"/>
  <c r="R21" i="28"/>
  <c r="S21" i="28" s="1"/>
  <c r="S22" i="28" s="1"/>
  <c r="O21" i="28"/>
  <c r="L21" i="28"/>
  <c r="M21" i="28"/>
  <c r="M22" i="28" s="1"/>
  <c r="I21" i="28"/>
  <c r="I22" i="28"/>
  <c r="BT19" i="28"/>
  <c r="BS19" i="28"/>
  <c r="BQ19" i="28"/>
  <c r="BP19" i="28"/>
  <c r="BN19" i="28"/>
  <c r="BM19" i="28"/>
  <c r="BK19" i="28"/>
  <c r="BJ19" i="28"/>
  <c r="BH19" i="28"/>
  <c r="BH32" i="28" s="1"/>
  <c r="BG19" i="28"/>
  <c r="BG32" i="28" s="1"/>
  <c r="BE19" i="28"/>
  <c r="BD19" i="28"/>
  <c r="BB19" i="28"/>
  <c r="BA19" i="28"/>
  <c r="AY19" i="28"/>
  <c r="AX19" i="28"/>
  <c r="AV19" i="28"/>
  <c r="AU19" i="28"/>
  <c r="AS19" i="28"/>
  <c r="AR19" i="28"/>
  <c r="AP19" i="28"/>
  <c r="AP32" i="28" s="1"/>
  <c r="AO19" i="28"/>
  <c r="AO32" i="28" s="1"/>
  <c r="AM19" i="28"/>
  <c r="AL19" i="28"/>
  <c r="AJ19" i="28"/>
  <c r="AI19" i="28"/>
  <c r="AG19" i="28"/>
  <c r="AF19" i="28"/>
  <c r="AD19" i="28"/>
  <c r="AC19" i="28"/>
  <c r="AA19" i="28"/>
  <c r="Z19" i="28"/>
  <c r="X19" i="28"/>
  <c r="W19" i="28"/>
  <c r="U19" i="28"/>
  <c r="T19" i="28"/>
  <c r="R19" i="28"/>
  <c r="Q19" i="28"/>
  <c r="O19" i="28"/>
  <c r="N19" i="28"/>
  <c r="V18" i="28"/>
  <c r="S18" i="28"/>
  <c r="P18" i="28"/>
  <c r="M18" i="28"/>
  <c r="J18" i="28"/>
  <c r="V17" i="28"/>
  <c r="S17" i="28"/>
  <c r="P17" i="28"/>
  <c r="M17" i="28"/>
  <c r="J17" i="28"/>
  <c r="V16" i="28"/>
  <c r="S16" i="28"/>
  <c r="P16" i="28"/>
  <c r="M16" i="28"/>
  <c r="J16" i="28"/>
  <c r="V15" i="28"/>
  <c r="S15" i="28"/>
  <c r="P15" i="28"/>
  <c r="M15" i="28"/>
  <c r="J15" i="28"/>
  <c r="BU14" i="28"/>
  <c r="BR14" i="28"/>
  <c r="BO14" i="28"/>
  <c r="BO19" i="28" s="1"/>
  <c r="BL14" i="28"/>
  <c r="BL19" i="28" s="1"/>
  <c r="BI14" i="28"/>
  <c r="BI19" i="28" s="1"/>
  <c r="BI32" i="28" s="1"/>
  <c r="BF14" i="28"/>
  <c r="BC14" i="28"/>
  <c r="AZ14" i="28"/>
  <c r="AW14" i="28"/>
  <c r="AT14" i="28"/>
  <c r="AQ14" i="28"/>
  <c r="AN14" i="28"/>
  <c r="AK14" i="28"/>
  <c r="AH14" i="28"/>
  <c r="AH19" i="28" s="1"/>
  <c r="AE14" i="28"/>
  <c r="AB14" i="28"/>
  <c r="Y14" i="28"/>
  <c r="Y19" i="28" s="1"/>
  <c r="V14" i="28"/>
  <c r="S14" i="28"/>
  <c r="S19" i="28" s="1"/>
  <c r="P14" i="28"/>
  <c r="M14" i="28"/>
  <c r="J14" i="28"/>
  <c r="BU13" i="28"/>
  <c r="BR13" i="28"/>
  <c r="BO13" i="28"/>
  <c r="BL13" i="28"/>
  <c r="BI13" i="28"/>
  <c r="BF13" i="28"/>
  <c r="BF19" i="28" s="1"/>
  <c r="BF32" i="28" s="1"/>
  <c r="BC13" i="28"/>
  <c r="BC19" i="28" s="1"/>
  <c r="AZ13" i="28"/>
  <c r="AZ19" i="28" s="1"/>
  <c r="AW13" i="28"/>
  <c r="AW19" i="28" s="1"/>
  <c r="AT13" i="28"/>
  <c r="AQ13" i="28"/>
  <c r="AQ19" i="28" s="1"/>
  <c r="AN13" i="28"/>
  <c r="AN19" i="28" s="1"/>
  <c r="AK13" i="28"/>
  <c r="AH13" i="28"/>
  <c r="AE13" i="28"/>
  <c r="AB13" i="28"/>
  <c r="Y13" i="28"/>
  <c r="V13" i="28"/>
  <c r="S13" i="28"/>
  <c r="P13" i="28"/>
  <c r="M13" i="28"/>
  <c r="J13" i="28"/>
  <c r="V12" i="28"/>
  <c r="S12" i="28"/>
  <c r="P12" i="28"/>
  <c r="J12" i="28"/>
  <c r="V11" i="28"/>
  <c r="S11" i="28"/>
  <c r="P11" i="28"/>
  <c r="J11" i="28"/>
  <c r="S41" i="28"/>
  <c r="S74" i="28"/>
  <c r="AP77" i="28"/>
  <c r="AP90" i="28" s="1"/>
  <c r="M74" i="28"/>
  <c r="J21" i="28"/>
  <c r="J22" i="28" s="1"/>
  <c r="AT22" i="28"/>
  <c r="K45" i="28"/>
  <c r="AN41" i="28"/>
  <c r="BX39" i="28"/>
  <c r="CA122" i="28"/>
  <c r="L30" i="28"/>
  <c r="CA113" i="28"/>
  <c r="L111" i="28"/>
  <c r="L55" i="28" s="1"/>
  <c r="K57" i="28"/>
  <c r="K52" i="28"/>
  <c r="K48" i="28"/>
  <c r="K53" i="28"/>
  <c r="K49" i="28"/>
  <c r="K55" i="28"/>
  <c r="K51" i="28"/>
  <c r="K54" i="28"/>
  <c r="K50" i="28"/>
  <c r="L56" i="28"/>
  <c r="BX80" i="28"/>
  <c r="BX38" i="28"/>
  <c r="BX61" i="28"/>
  <c r="BX62" i="28"/>
  <c r="AE74" i="28"/>
  <c r="AH67" i="28"/>
  <c r="CA117" i="28"/>
  <c r="AB64" i="28"/>
  <c r="AI90" i="28"/>
  <c r="CA112" i="28"/>
  <c r="T45" i="28"/>
  <c r="AK67" i="28"/>
  <c r="O100" i="28"/>
  <c r="BX24" i="28"/>
  <c r="AI32" i="28"/>
  <c r="AN30" i="28"/>
  <c r="AT30" i="28"/>
  <c r="BF30" i="28"/>
  <c r="BL30" i="28"/>
  <c r="N67" i="28"/>
  <c r="AS32" i="28"/>
  <c r="BX85" i="28"/>
  <c r="N32" i="28"/>
  <c r="I100" i="28" s="1"/>
  <c r="R30" i="28"/>
  <c r="S30" i="28" s="1"/>
  <c r="AE64" i="28"/>
  <c r="BX15" i="28"/>
  <c r="BV41" i="28"/>
  <c r="BE32" i="28"/>
  <c r="BW41" i="28"/>
  <c r="CA115" i="28"/>
  <c r="CA119" i="28"/>
  <c r="AH22" i="28"/>
  <c r="AB74" i="28"/>
  <c r="AD30" i="28"/>
  <c r="AK30" i="28"/>
  <c r="BI30" i="28"/>
  <c r="BU30" i="28"/>
  <c r="L54" i="28"/>
  <c r="I27" i="28"/>
  <c r="AB21" i="28"/>
  <c r="AB22" i="28" s="1"/>
  <c r="BR19" i="28"/>
  <c r="AB19" i="28"/>
  <c r="AA30" i="28"/>
  <c r="AB30" i="28" s="1"/>
  <c r="BX11" i="28"/>
  <c r="BX16" i="28"/>
  <c r="L22" i="28"/>
  <c r="L48" i="28"/>
  <c r="M111" i="28"/>
  <c r="N111" i="28" s="1"/>
  <c r="L51" i="28"/>
  <c r="O77" i="28"/>
  <c r="AQ21" i="28"/>
  <c r="AQ22" i="28" s="1"/>
  <c r="AQ32" i="28" s="1"/>
  <c r="CA118" i="28"/>
  <c r="O101" i="28"/>
  <c r="BW118" i="28"/>
  <c r="BX118" i="28" s="1"/>
  <c r="CB118" i="28" s="1"/>
  <c r="BX84" i="28"/>
  <c r="I30" i="28"/>
  <c r="J30" i="28" s="1"/>
  <c r="S44" i="28"/>
  <c r="S45" i="28" s="1"/>
  <c r="S77" i="28"/>
  <c r="P44" i="28"/>
  <c r="P45" i="28"/>
  <c r="Z67" i="28"/>
  <c r="AK19" i="28"/>
  <c r="AQ119" i="28"/>
  <c r="L47" i="28"/>
  <c r="BW82" i="28"/>
  <c r="V112" i="28"/>
  <c r="AB114" i="28"/>
  <c r="AB115" i="28"/>
  <c r="P77" i="28"/>
  <c r="P90" i="28" s="1"/>
  <c r="CB121" i="28" l="1"/>
  <c r="BX65" i="28"/>
  <c r="O111" i="28"/>
  <c r="O52" i="28" s="1"/>
  <c r="N47" i="28"/>
  <c r="N50" i="28"/>
  <c r="N53" i="28"/>
  <c r="N57" i="28"/>
  <c r="N49" i="28"/>
  <c r="N56" i="28"/>
  <c r="Q101" i="28"/>
  <c r="O104" i="28"/>
  <c r="I54" i="28"/>
  <c r="M65" i="28"/>
  <c r="BW19" i="28"/>
  <c r="AT32" i="28"/>
  <c r="T32" i="28"/>
  <c r="I102" i="28" s="1"/>
  <c r="K102" i="28" s="1"/>
  <c r="S27" i="28"/>
  <c r="Z32" i="28"/>
  <c r="AZ30" i="28"/>
  <c r="AZ32" i="28" s="1"/>
  <c r="BQ32" i="28"/>
  <c r="S87" i="28"/>
  <c r="S90" i="28" s="1"/>
  <c r="I47" i="28"/>
  <c r="AQ77" i="28"/>
  <c r="AQ90" i="28" s="1"/>
  <c r="S32" i="28"/>
  <c r="M87" i="28"/>
  <c r="BW26" i="28"/>
  <c r="BW27" i="28" s="1"/>
  <c r="J65" i="28"/>
  <c r="J67" i="28" s="1"/>
  <c r="BK32" i="28"/>
  <c r="K32" i="28"/>
  <c r="I99" i="28" s="1"/>
  <c r="AY32" i="28"/>
  <c r="AK82" i="28"/>
  <c r="AB87" i="28"/>
  <c r="AO90" i="28"/>
  <c r="J19" i="28"/>
  <c r="J32" i="28" s="1"/>
  <c r="P19" i="28"/>
  <c r="AA32" i="28"/>
  <c r="J104" i="28" s="1"/>
  <c r="V27" i="28"/>
  <c r="L45" i="28"/>
  <c r="J82" i="28"/>
  <c r="M118" i="28"/>
  <c r="M53" i="28" s="1"/>
  <c r="Y27" i="28"/>
  <c r="M56" i="28"/>
  <c r="AG32" i="28"/>
  <c r="M51" i="28"/>
  <c r="I55" i="28"/>
  <c r="O57" i="28"/>
  <c r="AE27" i="28"/>
  <c r="P64" i="28"/>
  <c r="P67" i="28" s="1"/>
  <c r="AE87" i="28"/>
  <c r="J50" i="28"/>
  <c r="M55" i="28"/>
  <c r="BW122" i="28"/>
  <c r="BW64" i="28"/>
  <c r="BW67" i="28" s="1"/>
  <c r="I57" i="28"/>
  <c r="M41" i="28"/>
  <c r="I50" i="28"/>
  <c r="AG77" i="28"/>
  <c r="AK87" i="28"/>
  <c r="I49" i="28"/>
  <c r="M50" i="28"/>
  <c r="J111" i="28"/>
  <c r="J55" i="28" s="1"/>
  <c r="O90" i="28"/>
  <c r="P100" i="28" s="1"/>
  <c r="Q100" i="28" s="1"/>
  <c r="BX25" i="28"/>
  <c r="AT19" i="28"/>
  <c r="I32" i="28"/>
  <c r="AF32" i="28"/>
  <c r="AK27" i="28"/>
  <c r="I90" i="28"/>
  <c r="P105" i="28"/>
  <c r="L57" i="28"/>
  <c r="L59" i="28" s="1"/>
  <c r="L69" i="28" s="1"/>
  <c r="M99" i="28" s="1"/>
  <c r="L67" i="28"/>
  <c r="V21" i="28"/>
  <c r="V22" i="28" s="1"/>
  <c r="V32" i="28" s="1"/>
  <c r="AH32" i="28"/>
  <c r="AE19" i="28"/>
  <c r="BU19" i="28"/>
  <c r="BU32" i="28" s="1"/>
  <c r="AN27" i="28"/>
  <c r="AN67" i="28"/>
  <c r="AQ67" i="28"/>
  <c r="L49" i="28"/>
  <c r="BX14" i="28"/>
  <c r="M26" i="28"/>
  <c r="M27" i="28" s="1"/>
  <c r="J27" i="28"/>
  <c r="U30" i="28"/>
  <c r="V30" i="28" s="1"/>
  <c r="P30" i="28"/>
  <c r="V41" i="28"/>
  <c r="M48" i="28"/>
  <c r="J116" i="28"/>
  <c r="AE67" i="28"/>
  <c r="BX41" i="28"/>
  <c r="W90" i="28"/>
  <c r="O103" i="28" s="1"/>
  <c r="BV122" i="28"/>
  <c r="BX122" i="28" s="1"/>
  <c r="CB122" i="28" s="1"/>
  <c r="BU122" i="28"/>
  <c r="BX26" i="28"/>
  <c r="BX27" i="28" s="1"/>
  <c r="AE115" i="28"/>
  <c r="V19" i="28"/>
  <c r="J105" i="28"/>
  <c r="BV32" i="28"/>
  <c r="M19" i="28"/>
  <c r="BV87" i="28"/>
  <c r="BV90" i="28" s="1"/>
  <c r="BX86" i="28"/>
  <c r="BX87" i="28" s="1"/>
  <c r="I53" i="28"/>
  <c r="J118" i="28"/>
  <c r="M117" i="28"/>
  <c r="M52" i="28" s="1"/>
  <c r="L52" i="28"/>
  <c r="BW117" i="28"/>
  <c r="BX117" i="28" s="1"/>
  <c r="CB117" i="28" s="1"/>
  <c r="BX19" i="28"/>
  <c r="AA90" i="28"/>
  <c r="AB77" i="28"/>
  <c r="AB90" i="28" s="1"/>
  <c r="Y29" i="28"/>
  <c r="X30" i="28"/>
  <c r="Y30" i="28" s="1"/>
  <c r="U45" i="28"/>
  <c r="BW44" i="28"/>
  <c r="BW45" i="28" s="1"/>
  <c r="V44" i="28"/>
  <c r="V45" i="28" s="1"/>
  <c r="BX18" i="28"/>
  <c r="BV19" i="28"/>
  <c r="Y41" i="28"/>
  <c r="W45" i="28"/>
  <c r="Y44" i="28"/>
  <c r="Y45" i="28" s="1"/>
  <c r="K59" i="28"/>
  <c r="R22" i="28"/>
  <c r="R32" i="28" s="1"/>
  <c r="J101" i="28" s="1"/>
  <c r="K101" i="28" s="1"/>
  <c r="AW30" i="28"/>
  <c r="AW32" i="28" s="1"/>
  <c r="AU32" i="28"/>
  <c r="I105" i="28" s="1"/>
  <c r="K105" i="28" s="1"/>
  <c r="U32" i="28"/>
  <c r="J102" i="28" s="1"/>
  <c r="X22" i="28"/>
  <c r="Y21" i="28"/>
  <c r="Y22" i="28" s="1"/>
  <c r="BV64" i="28"/>
  <c r="T67" i="28"/>
  <c r="O56" i="28"/>
  <c r="V64" i="28"/>
  <c r="V67" i="28" s="1"/>
  <c r="BW114" i="28"/>
  <c r="BX114" i="28" s="1"/>
  <c r="CB114" i="28" s="1"/>
  <c r="AD22" i="28"/>
  <c r="AD32" i="28" s="1"/>
  <c r="AE21" i="28"/>
  <c r="AE22" i="28" s="1"/>
  <c r="BP32" i="28"/>
  <c r="AN119" i="28"/>
  <c r="K99" i="28"/>
  <c r="AE41" i="28"/>
  <c r="L50" i="28"/>
  <c r="BW115" i="28"/>
  <c r="BX115" i="28" s="1"/>
  <c r="CB115" i="28" s="1"/>
  <c r="BW119" i="28"/>
  <c r="BX119" i="28" s="1"/>
  <c r="CB119" i="28" s="1"/>
  <c r="BW120" i="28"/>
  <c r="BX120" i="28" s="1"/>
  <c r="CB120" i="28" s="1"/>
  <c r="H59" i="28"/>
  <c r="V75" i="28"/>
  <c r="BW75" i="28"/>
  <c r="BX75" i="28" s="1"/>
  <c r="U77" i="28"/>
  <c r="U90" i="28" s="1"/>
  <c r="P102" i="28" s="1"/>
  <c r="BX81" i="28"/>
  <c r="BX82" i="28" s="1"/>
  <c r="BW29" i="28"/>
  <c r="W32" i="28"/>
  <c r="I103" i="28" s="1"/>
  <c r="BR32" i="28"/>
  <c r="AB27" i="28"/>
  <c r="AB32" i="28" s="1"/>
  <c r="AK77" i="28"/>
  <c r="AJ90" i="28"/>
  <c r="J113" i="28"/>
  <c r="I48" i="28"/>
  <c r="O53" i="28"/>
  <c r="BW74" i="28"/>
  <c r="AM77" i="28"/>
  <c r="V119" i="28"/>
  <c r="K100" i="28"/>
  <c r="AB118" i="28"/>
  <c r="V87" i="28"/>
  <c r="O105" i="28"/>
  <c r="Q105" i="28" s="1"/>
  <c r="AM22" i="28"/>
  <c r="AM32" i="28" s="1"/>
  <c r="AN21" i="28"/>
  <c r="AN22" i="28" s="1"/>
  <c r="K67" i="28"/>
  <c r="M64" i="28"/>
  <c r="M67" i="28" s="1"/>
  <c r="N51" i="28"/>
  <c r="N55" i="28"/>
  <c r="N48" i="28"/>
  <c r="N54" i="28"/>
  <c r="N52" i="28"/>
  <c r="O22" i="28"/>
  <c r="O32" i="28" s="1"/>
  <c r="J100" i="28" s="1"/>
  <c r="P21" i="28"/>
  <c r="P22" i="28" s="1"/>
  <c r="M112" i="28"/>
  <c r="M47" i="28" s="1"/>
  <c r="M59" i="28" s="1"/>
  <c r="M69" i="28" s="1"/>
  <c r="BW112" i="28"/>
  <c r="BX112" i="28" s="1"/>
  <c r="CB112" i="28" s="1"/>
  <c r="J117" i="28"/>
  <c r="J52" i="28" s="1"/>
  <c r="I52" i="28"/>
  <c r="AV22" i="28"/>
  <c r="AV32" i="28" s="1"/>
  <c r="AL32" i="28"/>
  <c r="BW21" i="28"/>
  <c r="BJ32" i="28"/>
  <c r="AC32" i="28"/>
  <c r="AK41" i="28"/>
  <c r="P29" i="28"/>
  <c r="J87" i="28"/>
  <c r="J90" i="28" s="1"/>
  <c r="J112" i="28"/>
  <c r="V116" i="28"/>
  <c r="BW116" i="28"/>
  <c r="BX116" i="28" s="1"/>
  <c r="CB116" i="28" s="1"/>
  <c r="BL32" i="28"/>
  <c r="X77" i="28"/>
  <c r="BW113" i="28"/>
  <c r="BX113" i="28" s="1"/>
  <c r="CB113" i="28" s="1"/>
  <c r="V113" i="28"/>
  <c r="H67" i="28"/>
  <c r="AB67" i="28"/>
  <c r="BA32" i="28"/>
  <c r="M30" i="28"/>
  <c r="AD77" i="28"/>
  <c r="K90" i="28"/>
  <c r="O99" i="28" s="1"/>
  <c r="M77" i="28"/>
  <c r="M90" i="28" s="1"/>
  <c r="AK21" i="28"/>
  <c r="AK22" i="28" s="1"/>
  <c r="AK32" i="28" s="1"/>
  <c r="AJ22" i="28"/>
  <c r="AJ32" i="28" s="1"/>
  <c r="O54" i="28"/>
  <c r="Y64" i="28"/>
  <c r="Y67" i="28" s="1"/>
  <c r="S64" i="28"/>
  <c r="S67" i="28" s="1"/>
  <c r="BC32" i="28"/>
  <c r="BO30" i="28"/>
  <c r="BO32" i="28" s="1"/>
  <c r="BV44" i="28"/>
  <c r="P32" i="28" l="1"/>
  <c r="AE32" i="28"/>
  <c r="J47" i="28"/>
  <c r="J51" i="28"/>
  <c r="M32" i="28"/>
  <c r="J48" i="28"/>
  <c r="P111" i="28"/>
  <c r="O47" i="28"/>
  <c r="J56" i="28"/>
  <c r="AK90" i="28"/>
  <c r="O48" i="28"/>
  <c r="O59" i="28" s="1"/>
  <c r="O69" i="28" s="1"/>
  <c r="M100" i="28" s="1"/>
  <c r="N100" i="28" s="1"/>
  <c r="J53" i="28"/>
  <c r="AH77" i="28"/>
  <c r="AH90" i="28" s="1"/>
  <c r="AG90" i="28"/>
  <c r="N59" i="28"/>
  <c r="N69" i="28" s="1"/>
  <c r="L100" i="28" s="1"/>
  <c r="J57" i="28"/>
  <c r="AN32" i="28"/>
  <c r="J49" i="28"/>
  <c r="I104" i="28"/>
  <c r="O50" i="28"/>
  <c r="O51" i="28"/>
  <c r="O55" i="28"/>
  <c r="O49" i="28"/>
  <c r="J54" i="28"/>
  <c r="J108" i="28"/>
  <c r="K104" i="28"/>
  <c r="I108" i="28"/>
  <c r="AD90" i="28"/>
  <c r="P104" i="28" s="1"/>
  <c r="AE77" i="28"/>
  <c r="AE90" i="28" s="1"/>
  <c r="BX44" i="28"/>
  <c r="BX45" i="28" s="1"/>
  <c r="BV45" i="28"/>
  <c r="BX74" i="28"/>
  <c r="BX77" i="28" s="1"/>
  <c r="BX90" i="28" s="1"/>
  <c r="BW77" i="28"/>
  <c r="BW90" i="28" s="1"/>
  <c r="X90" i="28"/>
  <c r="P103" i="28" s="1"/>
  <c r="Q103" i="28" s="1"/>
  <c r="Y77" i="28"/>
  <c r="Y90" i="28" s="1"/>
  <c r="AM90" i="28"/>
  <c r="AN77" i="28"/>
  <c r="AN90" i="28" s="1"/>
  <c r="K69" i="28"/>
  <c r="L99" i="28" s="1"/>
  <c r="BX64" i="28"/>
  <c r="BX67" i="28" s="1"/>
  <c r="BV67" i="28"/>
  <c r="I59" i="28"/>
  <c r="I69" i="28" s="1"/>
  <c r="P54" i="28"/>
  <c r="P50" i="28"/>
  <c r="P55" i="28"/>
  <c r="Q102" i="28"/>
  <c r="H69" i="28"/>
  <c r="BW22" i="28"/>
  <c r="BW32" i="28" s="1"/>
  <c r="BX21" i="28"/>
  <c r="BX22" i="28" s="1"/>
  <c r="BX32" i="28" s="1"/>
  <c r="Y32" i="28"/>
  <c r="V77" i="28"/>
  <c r="V90" i="28" s="1"/>
  <c r="BW30" i="28"/>
  <c r="BX30" i="28" s="1"/>
  <c r="BX29" i="28"/>
  <c r="X32" i="28"/>
  <c r="J103" i="28" s="1"/>
  <c r="K103" i="28" s="1"/>
  <c r="Q99" i="28"/>
  <c r="O108" i="28"/>
  <c r="P52" i="28" l="1"/>
  <c r="P48" i="28"/>
  <c r="P57" i="28"/>
  <c r="K108" i="28"/>
  <c r="P47" i="28"/>
  <c r="P59" i="28" s="1"/>
  <c r="P69" i="28" s="1"/>
  <c r="P51" i="28"/>
  <c r="J59" i="28"/>
  <c r="J69" i="28" s="1"/>
  <c r="P49" i="28"/>
  <c r="P56" i="28"/>
  <c r="P53" i="28"/>
  <c r="Q111" i="28"/>
  <c r="Q52" i="28" s="1"/>
  <c r="Q104" i="28"/>
  <c r="Q108" i="28" s="1"/>
  <c r="P108" i="28"/>
  <c r="N99" i="28"/>
  <c r="Q56" i="28"/>
  <c r="Q50" i="28"/>
  <c r="Q53" i="28"/>
  <c r="Q51" i="28" l="1"/>
  <c r="Q49" i="28"/>
  <c r="Q57" i="28"/>
  <c r="Q47" i="28"/>
  <c r="Q55" i="28"/>
  <c r="Q54" i="28"/>
  <c r="R111" i="28"/>
  <c r="R55" i="28" s="1"/>
  <c r="Q48" i="28"/>
  <c r="R47" i="28"/>
  <c r="R57" i="28"/>
  <c r="R52" i="28"/>
  <c r="R49" i="28"/>
  <c r="R53" i="28"/>
  <c r="R54" i="28"/>
  <c r="R51" i="28" l="1"/>
  <c r="R50" i="28"/>
  <c r="S111" i="28"/>
  <c r="S52" i="28" s="1"/>
  <c r="Q59" i="28"/>
  <c r="Q69" i="28" s="1"/>
  <c r="L101" i="28" s="1"/>
  <c r="R56" i="28"/>
  <c r="R48" i="28"/>
  <c r="S51" i="28"/>
  <c r="T111" i="28"/>
  <c r="S47" i="28"/>
  <c r="S57" i="28"/>
  <c r="S54" i="28"/>
  <c r="S53" i="28"/>
  <c r="S55" i="28"/>
  <c r="S50" i="28"/>
  <c r="S56" i="28"/>
  <c r="S48" i="28"/>
  <c r="S49" i="28"/>
  <c r="R59" i="28"/>
  <c r="R69" i="28" s="1"/>
  <c r="M101" i="28" s="1"/>
  <c r="N101" i="28" l="1"/>
  <c r="S59" i="28"/>
  <c r="S69" i="28" s="1"/>
  <c r="T57" i="28"/>
  <c r="T55" i="28"/>
  <c r="T53" i="28"/>
  <c r="T52" i="28"/>
  <c r="T47" i="28"/>
  <c r="T51" i="28"/>
  <c r="T54" i="28"/>
  <c r="T48" i="28"/>
  <c r="T49" i="28"/>
  <c r="T50" i="28"/>
  <c r="T56" i="28"/>
  <c r="U111" i="28"/>
  <c r="T59" i="28" l="1"/>
  <c r="T69" i="28" s="1"/>
  <c r="L102" i="28" s="1"/>
  <c r="U50" i="28"/>
  <c r="U55" i="28"/>
  <c r="U56" i="28"/>
  <c r="U49" i="28"/>
  <c r="U53" i="28"/>
  <c r="V111" i="28"/>
  <c r="U52" i="28"/>
  <c r="U48" i="28"/>
  <c r="U47" i="28"/>
  <c r="U57" i="28"/>
  <c r="U51" i="28"/>
  <c r="U54" i="28"/>
  <c r="V49" i="28" l="1"/>
  <c r="V47" i="28"/>
  <c r="V56" i="28"/>
  <c r="V55" i="28"/>
  <c r="V50" i="28"/>
  <c r="W111" i="28"/>
  <c r="V52" i="28"/>
  <c r="V53" i="28"/>
  <c r="V57" i="28"/>
  <c r="V54" i="28"/>
  <c r="V51" i="28"/>
  <c r="V48" i="28"/>
  <c r="U59" i="28"/>
  <c r="U69" i="28" s="1"/>
  <c r="M102" i="28" s="1"/>
  <c r="N102" i="28" l="1"/>
  <c r="W53" i="28"/>
  <c r="W48" i="28"/>
  <c r="W49" i="28"/>
  <c r="W51" i="28"/>
  <c r="W50" i="28"/>
  <c r="W52" i="28"/>
  <c r="W56" i="28"/>
  <c r="W55" i="28"/>
  <c r="W54" i="28"/>
  <c r="W57" i="28"/>
  <c r="X111" i="28"/>
  <c r="V59" i="28"/>
  <c r="V69" i="28" s="1"/>
  <c r="W59" i="28" l="1"/>
  <c r="W69" i="28" s="1"/>
  <c r="L103" i="28" s="1"/>
  <c r="X54" i="28"/>
  <c r="X53" i="28"/>
  <c r="X47" i="28"/>
  <c r="Y111" i="28"/>
  <c r="X56" i="28"/>
  <c r="X50" i="28"/>
  <c r="X57" i="28"/>
  <c r="X49" i="28"/>
  <c r="X55" i="28"/>
  <c r="X52" i="28"/>
  <c r="X48" i="28"/>
  <c r="X51" i="28"/>
  <c r="Y56" i="28" l="1"/>
  <c r="Y50" i="28"/>
  <c r="Z111" i="28"/>
  <c r="Y52" i="28"/>
  <c r="Y55" i="28"/>
  <c r="Y49" i="28"/>
  <c r="Y51" i="28"/>
  <c r="Y57" i="28"/>
  <c r="Y48" i="28"/>
  <c r="Y53" i="28"/>
  <c r="Y54" i="28"/>
  <c r="Y47" i="28"/>
  <c r="X59" i="28"/>
  <c r="X69" i="28" s="1"/>
  <c r="M103" i="28" s="1"/>
  <c r="N103" i="28" s="1"/>
  <c r="Y59" i="28" l="1"/>
  <c r="Y69" i="28" s="1"/>
  <c r="Z49" i="28"/>
  <c r="AA111" i="28"/>
  <c r="Z48" i="28"/>
  <c r="Z56" i="28"/>
  <c r="Z47" i="28"/>
  <c r="Z52" i="28"/>
  <c r="Z51" i="28"/>
  <c r="Z50" i="28"/>
  <c r="Z54" i="28"/>
  <c r="Z57" i="28"/>
  <c r="Z55" i="28"/>
  <c r="Z53" i="28"/>
  <c r="Z59" i="28" l="1"/>
  <c r="Z69" i="28" s="1"/>
  <c r="AA51" i="28"/>
  <c r="AA47" i="28"/>
  <c r="AB111" i="28"/>
  <c r="AA56" i="28"/>
  <c r="AA57" i="28"/>
  <c r="AA50" i="28"/>
  <c r="AA55" i="28"/>
  <c r="AA52" i="28"/>
  <c r="AA54" i="28"/>
  <c r="AA48" i="28"/>
  <c r="AA49" i="28"/>
  <c r="AA53" i="28"/>
  <c r="AB51" i="28" l="1"/>
  <c r="AB50" i="28"/>
  <c r="AB55" i="28"/>
  <c r="AB57" i="28"/>
  <c r="AC111" i="28"/>
  <c r="AB52" i="28"/>
  <c r="AB54" i="28"/>
  <c r="AB47" i="28"/>
  <c r="AB56" i="28"/>
  <c r="AB48" i="28"/>
  <c r="AB49" i="28"/>
  <c r="AB53" i="28"/>
  <c r="AA59" i="28"/>
  <c r="AA69" i="28" s="1"/>
  <c r="AC55" i="28" l="1"/>
  <c r="AC50" i="28"/>
  <c r="AC52" i="28"/>
  <c r="AC53" i="28"/>
  <c r="AC47" i="28"/>
  <c r="AC57" i="28"/>
  <c r="AC49" i="28"/>
  <c r="AC56" i="28"/>
  <c r="AC48" i="28"/>
  <c r="AD111" i="28"/>
  <c r="AC54" i="28"/>
  <c r="AB59" i="28"/>
  <c r="AB69" i="28" s="1"/>
  <c r="AD51" i="28" l="1"/>
  <c r="AE111" i="28"/>
  <c r="AD52" i="28"/>
  <c r="AD48" i="28"/>
  <c r="AD47" i="28"/>
  <c r="AD55" i="28"/>
  <c r="AD56" i="28"/>
  <c r="AD57" i="28"/>
  <c r="AD54" i="28"/>
  <c r="AD50" i="28"/>
  <c r="AD53" i="28"/>
  <c r="AD49" i="28"/>
  <c r="AC59" i="28"/>
  <c r="AC69" i="28" s="1"/>
  <c r="AD59" i="28" l="1"/>
  <c r="AD69" i="28" s="1"/>
  <c r="AE54" i="28"/>
  <c r="AE57" i="28"/>
  <c r="AE51" i="28"/>
  <c r="AF111" i="28"/>
  <c r="AE55" i="28"/>
  <c r="AE47" i="28"/>
  <c r="AE56" i="28"/>
  <c r="AE52" i="28"/>
  <c r="AE48" i="28"/>
  <c r="AE49" i="28"/>
  <c r="AE53" i="28"/>
  <c r="AE50" i="28"/>
  <c r="AE59" i="28" l="1"/>
  <c r="AE69" i="28" s="1"/>
  <c r="AG111" i="28"/>
  <c r="AF52" i="28"/>
  <c r="AF57" i="28"/>
  <c r="AF56" i="28"/>
  <c r="AF55" i="28"/>
  <c r="AF51" i="28"/>
  <c r="AF53" i="28"/>
  <c r="AF54" i="28"/>
  <c r="AF49" i="28"/>
  <c r="AF59" i="28" s="1"/>
  <c r="AF69" i="28" s="1"/>
  <c r="AG47" i="28" l="1"/>
  <c r="AG54" i="28"/>
  <c r="AG56" i="28"/>
  <c r="AG51" i="28"/>
  <c r="AG53" i="28"/>
  <c r="AG57" i="28"/>
  <c r="AG55" i="28"/>
  <c r="AG52" i="28"/>
  <c r="AG50" i="28"/>
  <c r="AH111" i="28"/>
  <c r="AG48" i="28"/>
  <c r="AG49" i="28"/>
  <c r="AG59" i="28" l="1"/>
  <c r="AG69" i="28" s="1"/>
  <c r="AH54" i="28"/>
  <c r="AH51" i="28"/>
  <c r="AH47" i="28"/>
  <c r="AH52" i="28"/>
  <c r="AH49" i="28"/>
  <c r="AH57" i="28"/>
  <c r="AH55" i="28"/>
  <c r="AI111" i="28"/>
  <c r="AH56" i="28"/>
  <c r="AH53" i="28"/>
  <c r="AH50" i="28"/>
  <c r="AH48" i="28"/>
  <c r="AI51" i="28" l="1"/>
  <c r="AI50" i="28"/>
  <c r="AI55" i="28"/>
  <c r="AI52" i="28"/>
  <c r="AI54" i="28"/>
  <c r="AI53" i="28"/>
  <c r="AI48" i="28"/>
  <c r="AI47" i="28"/>
  <c r="AJ111" i="28"/>
  <c r="AI56" i="28"/>
  <c r="AI57" i="28"/>
  <c r="AH59" i="28"/>
  <c r="AH69" i="28" s="1"/>
  <c r="AI59" i="28" l="1"/>
  <c r="AI69" i="28" s="1"/>
  <c r="AJ54" i="28"/>
  <c r="AJ57" i="28"/>
  <c r="AK111" i="28"/>
  <c r="AJ56" i="28"/>
  <c r="AJ52" i="28"/>
  <c r="AJ51" i="28"/>
  <c r="AJ50" i="28"/>
  <c r="AJ53" i="28"/>
  <c r="AJ49" i="28"/>
  <c r="AJ47" i="28"/>
  <c r="AJ48" i="28"/>
  <c r="AJ55" i="28"/>
  <c r="AJ59" i="28" l="1"/>
  <c r="AJ69" i="28" s="1"/>
  <c r="AL111" i="28"/>
  <c r="AK49" i="28"/>
  <c r="AK56" i="28"/>
  <c r="AK52" i="28"/>
  <c r="AK53" i="28"/>
  <c r="AK57" i="28"/>
  <c r="AK55" i="28"/>
  <c r="AK48" i="28"/>
  <c r="AK50" i="28"/>
  <c r="AK47" i="28"/>
  <c r="AK51" i="28"/>
  <c r="AK54" i="28"/>
  <c r="AK59" i="28" l="1"/>
  <c r="AK69" i="28" s="1"/>
  <c r="AL49" i="28"/>
  <c r="AL47" i="28"/>
  <c r="AL50" i="28"/>
  <c r="AL51" i="28"/>
  <c r="AL55" i="28"/>
  <c r="AL54" i="28"/>
  <c r="AL52" i="28"/>
  <c r="AM111" i="28"/>
  <c r="AL57" i="28"/>
  <c r="AL56" i="28"/>
  <c r="AL53" i="28"/>
  <c r="AL48" i="28"/>
  <c r="AM53" i="28" l="1"/>
  <c r="AM48" i="28"/>
  <c r="AM47" i="28"/>
  <c r="AM55" i="28"/>
  <c r="AN111" i="28"/>
  <c r="AM57" i="28"/>
  <c r="AM50" i="28"/>
  <c r="AM51" i="28"/>
  <c r="AM56" i="28"/>
  <c r="AM49" i="28"/>
  <c r="AM54" i="28"/>
  <c r="AM52" i="28"/>
  <c r="AL59" i="28"/>
  <c r="AL69" i="28" s="1"/>
  <c r="L104" i="28" s="1"/>
  <c r="AN56" i="28" l="1"/>
  <c r="AO111" i="28"/>
  <c r="AN53" i="28"/>
  <c r="AN47" i="28"/>
  <c r="AN55" i="28"/>
  <c r="AN49" i="28"/>
  <c r="AN57" i="28"/>
  <c r="AN51" i="28"/>
  <c r="AN50" i="28"/>
  <c r="AN52" i="28"/>
  <c r="AN48" i="28"/>
  <c r="AN54" i="28"/>
  <c r="AM59" i="28"/>
  <c r="AM69" i="28" s="1"/>
  <c r="M104" i="28" s="1"/>
  <c r="N104" i="28" s="1"/>
  <c r="AN59" i="28" l="1"/>
  <c r="AN69" i="28" s="1"/>
  <c r="AO55" i="28"/>
  <c r="AO48" i="28"/>
  <c r="BV48" i="28" s="1"/>
  <c r="AO49" i="28"/>
  <c r="BV49" i="28" s="1"/>
  <c r="AO57" i="28"/>
  <c r="AP111" i="28"/>
  <c r="AO53" i="28"/>
  <c r="AO54" i="28"/>
  <c r="AO50" i="28"/>
  <c r="BV50" i="28" s="1"/>
  <c r="AO47" i="28"/>
  <c r="AO56" i="28"/>
  <c r="AO51" i="28"/>
  <c r="BV51" i="28" s="1"/>
  <c r="AP57" i="28" l="1"/>
  <c r="AP50" i="28"/>
  <c r="BW50" i="28" s="1"/>
  <c r="BX50" i="28" s="1"/>
  <c r="AP48" i="28"/>
  <c r="BW48" i="28" s="1"/>
  <c r="BX48" i="28" s="1"/>
  <c r="AQ111" i="28"/>
  <c r="AP51" i="28"/>
  <c r="BW51" i="28" s="1"/>
  <c r="BX51" i="28" s="1"/>
  <c r="AP49" i="28"/>
  <c r="BW49" i="28" s="1"/>
  <c r="BX49" i="28" s="1"/>
  <c r="AP54" i="28"/>
  <c r="AP47" i="28"/>
  <c r="AP56" i="28"/>
  <c r="AP53" i="28"/>
  <c r="AP52" i="28"/>
  <c r="AP55" i="28"/>
  <c r="AO59" i="28"/>
  <c r="AO69" i="28" s="1"/>
  <c r="BV47" i="28"/>
  <c r="AP59" i="28" l="1"/>
  <c r="AP69" i="28" s="1"/>
  <c r="BW47" i="28"/>
  <c r="AQ56" i="28"/>
  <c r="AR111" i="28"/>
  <c r="AQ47" i="28"/>
  <c r="AQ55" i="28"/>
  <c r="AQ49" i="28"/>
  <c r="AQ53" i="28"/>
  <c r="AQ50" i="28"/>
  <c r="AQ48" i="28"/>
  <c r="AQ57" i="28"/>
  <c r="AQ52" i="28"/>
  <c r="AQ51" i="28"/>
  <c r="AQ54" i="28"/>
  <c r="AQ59" i="28" l="1"/>
  <c r="AQ69" i="28" s="1"/>
  <c r="AR54" i="28"/>
  <c r="AR53" i="28"/>
  <c r="AR55" i="28"/>
  <c r="AS111" i="28"/>
  <c r="AR56" i="28"/>
  <c r="AR57" i="28"/>
  <c r="AR52" i="28"/>
  <c r="BX47" i="28"/>
  <c r="AR59" i="28" l="1"/>
  <c r="AR69" i="28" s="1"/>
  <c r="AS52" i="28"/>
  <c r="AS54" i="28"/>
  <c r="AT111" i="28"/>
  <c r="AS56" i="28"/>
  <c r="AS55" i="28"/>
  <c r="AS53" i="28"/>
  <c r="AS57" i="28"/>
  <c r="AT55" i="28" l="1"/>
  <c r="AT52" i="28"/>
  <c r="AU111" i="28"/>
  <c r="AT56" i="28"/>
  <c r="AT53" i="28"/>
  <c r="AT54" i="28"/>
  <c r="AT57" i="28"/>
  <c r="AS59" i="28"/>
  <c r="AS69" i="28" s="1"/>
  <c r="AU54" i="28" l="1"/>
  <c r="AV111" i="28"/>
  <c r="AU52" i="28"/>
  <c r="AU57" i="28"/>
  <c r="AU56" i="28"/>
  <c r="AU53" i="28"/>
  <c r="AU55" i="28"/>
  <c r="AT59" i="28"/>
  <c r="AT69" i="28" s="1"/>
  <c r="AV52" i="28" l="1"/>
  <c r="AW111" i="28"/>
  <c r="AV57" i="28"/>
  <c r="AV56" i="28"/>
  <c r="AV55" i="28"/>
  <c r="AV53" i="28"/>
  <c r="AV54" i="28"/>
  <c r="AU59" i="28"/>
  <c r="AU69" i="28" s="1"/>
  <c r="AW57" i="28" l="1"/>
  <c r="AW53" i="28"/>
  <c r="AX111" i="28"/>
  <c r="AW55" i="28"/>
  <c r="AW56" i="28"/>
  <c r="AW52" i="28"/>
  <c r="AW54" i="28"/>
  <c r="AV59" i="28"/>
  <c r="AV69" i="28" s="1"/>
  <c r="AW59" i="28" l="1"/>
  <c r="AW69" i="28" s="1"/>
  <c r="AX55" i="28"/>
  <c r="AX56" i="28"/>
  <c r="AX54" i="28"/>
  <c r="AX52" i="28"/>
  <c r="AX57" i="28"/>
  <c r="AX53" i="28"/>
  <c r="AY111" i="28"/>
  <c r="AY52" i="28" l="1"/>
  <c r="AY54" i="28"/>
  <c r="AY57" i="28"/>
  <c r="AY55" i="28"/>
  <c r="AY56" i="28"/>
  <c r="AY53" i="28"/>
  <c r="AZ111" i="28"/>
  <c r="AX59" i="28"/>
  <c r="AX69" i="28" s="1"/>
  <c r="AZ52" i="28" l="1"/>
  <c r="AZ54" i="28"/>
  <c r="BA111" i="28"/>
  <c r="AZ55" i="28"/>
  <c r="AZ53" i="28"/>
  <c r="AZ57" i="28"/>
  <c r="AZ56" i="28"/>
  <c r="AY59" i="28"/>
  <c r="AY69" i="28" s="1"/>
  <c r="AZ59" i="28" l="1"/>
  <c r="AZ69" i="28" s="1"/>
  <c r="BA53" i="28"/>
  <c r="BA55" i="28"/>
  <c r="BB111" i="28"/>
  <c r="BA52" i="28"/>
  <c r="BA56" i="28"/>
  <c r="BA54" i="28"/>
  <c r="BA57" i="28"/>
  <c r="BC111" i="28" l="1"/>
  <c r="BB54" i="28"/>
  <c r="BB55" i="28"/>
  <c r="BB53" i="28"/>
  <c r="BB56" i="28"/>
  <c r="BB52" i="28"/>
  <c r="BB57" i="28"/>
  <c r="BA59" i="28"/>
  <c r="BA69" i="28" s="1"/>
  <c r="BB59" i="28" l="1"/>
  <c r="BB69" i="28" s="1"/>
  <c r="BC52" i="28"/>
  <c r="BC53" i="28"/>
  <c r="BC54" i="28"/>
  <c r="BC56" i="28"/>
  <c r="BC57" i="28"/>
  <c r="BC55" i="28"/>
  <c r="BD111" i="28"/>
  <c r="BD54" i="28" l="1"/>
  <c r="BE111" i="28"/>
  <c r="BD57" i="28"/>
  <c r="BD52" i="28"/>
  <c r="BD53" i="28"/>
  <c r="BD55" i="28"/>
  <c r="BD56" i="28"/>
  <c r="BC59" i="28"/>
  <c r="BC69" i="28" s="1"/>
  <c r="BE52" i="28" l="1"/>
  <c r="BF111" i="28"/>
  <c r="BE56" i="28"/>
  <c r="BE57" i="28"/>
  <c r="BE53" i="28"/>
  <c r="BE54" i="28"/>
  <c r="BE55" i="28"/>
  <c r="BD59" i="28"/>
  <c r="BD69" i="28" s="1"/>
  <c r="BF52" i="28" l="1"/>
  <c r="BF56" i="28"/>
  <c r="BF53" i="28"/>
  <c r="BF55" i="28"/>
  <c r="BF54" i="28"/>
  <c r="BF57" i="28"/>
  <c r="BG111" i="28"/>
  <c r="BE59" i="28"/>
  <c r="BE69" i="28" s="1"/>
  <c r="BG54" i="28" l="1"/>
  <c r="BH111" i="28"/>
  <c r="BG56" i="28"/>
  <c r="BG55" i="28"/>
  <c r="BG53" i="28"/>
  <c r="BG52" i="28"/>
  <c r="BG57" i="28"/>
  <c r="BF59" i="28"/>
  <c r="BF69" i="28" s="1"/>
  <c r="BG59" i="28" l="1"/>
  <c r="BG69" i="28" s="1"/>
  <c r="BH52" i="28"/>
  <c r="BH53" i="28"/>
  <c r="BH57" i="28"/>
  <c r="BH55" i="28"/>
  <c r="BH56" i="28"/>
  <c r="BH54" i="28"/>
  <c r="BI111" i="28"/>
  <c r="BI53" i="28" l="1"/>
  <c r="BI52" i="28"/>
  <c r="BJ111" i="28"/>
  <c r="BI55" i="28"/>
  <c r="BI56" i="28"/>
  <c r="BI54" i="28"/>
  <c r="BI57" i="28"/>
  <c r="BH59" i="28"/>
  <c r="BH69" i="28" s="1"/>
  <c r="BI59" i="28" l="1"/>
  <c r="BI69" i="28" s="1"/>
  <c r="BJ53" i="28"/>
  <c r="BJ55" i="28"/>
  <c r="BJ54" i="28"/>
  <c r="BJ57" i="28"/>
  <c r="BJ56" i="28"/>
  <c r="BJ52" i="28"/>
  <c r="BK111" i="28"/>
  <c r="BK53" i="28" l="1"/>
  <c r="BK57" i="28"/>
  <c r="BL111" i="28"/>
  <c r="BK56" i="28"/>
  <c r="BK52" i="28"/>
  <c r="BK55" i="28"/>
  <c r="BK54" i="28"/>
  <c r="BJ59" i="28"/>
  <c r="BJ69" i="28" s="1"/>
  <c r="BK59" i="28" l="1"/>
  <c r="BK69" i="28" s="1"/>
  <c r="BL56" i="28"/>
  <c r="BM111" i="28"/>
  <c r="BL57" i="28"/>
  <c r="BL55" i="28"/>
  <c r="BL53" i="28"/>
  <c r="BL54" i="28"/>
  <c r="BL52" i="28"/>
  <c r="BL59" i="28" s="1"/>
  <c r="BL69" i="28" s="1"/>
  <c r="BM53" i="28" l="1"/>
  <c r="BN111" i="28"/>
  <c r="BM54" i="28"/>
  <c r="BM56" i="28"/>
  <c r="BM57" i="28"/>
  <c r="BM55" i="28"/>
  <c r="BM52" i="28"/>
  <c r="BM59" i="28" l="1"/>
  <c r="BM69" i="28" s="1"/>
  <c r="BN52" i="28"/>
  <c r="BN56" i="28"/>
  <c r="BN54" i="28"/>
  <c r="BN57" i="28"/>
  <c r="BN53" i="28"/>
  <c r="BO111" i="28"/>
  <c r="BN55" i="28"/>
  <c r="BO54" i="28" l="1"/>
  <c r="BP111" i="28"/>
  <c r="BO56" i="28"/>
  <c r="BO53" i="28"/>
  <c r="BO57" i="28"/>
  <c r="BO52" i="28"/>
  <c r="BO55" i="28"/>
  <c r="BN59" i="28"/>
  <c r="BN69" i="28" s="1"/>
  <c r="BO59" i="28" l="1"/>
  <c r="BO69" i="28" s="1"/>
  <c r="BP52" i="28"/>
  <c r="BP54" i="28"/>
  <c r="BP55" i="28"/>
  <c r="BP56" i="28"/>
  <c r="BP57" i="28"/>
  <c r="BQ111" i="28"/>
  <c r="BP53" i="28"/>
  <c r="BP59" i="28" l="1"/>
  <c r="BP69" i="28" s="1"/>
  <c r="BR111" i="28"/>
  <c r="BQ57" i="28"/>
  <c r="BQ55" i="28"/>
  <c r="BQ53" i="28"/>
  <c r="BQ52" i="28"/>
  <c r="BQ56" i="28"/>
  <c r="BQ54" i="28"/>
  <c r="BR53" i="28" l="1"/>
  <c r="BS111" i="28"/>
  <c r="BR57" i="28"/>
  <c r="BR52" i="28"/>
  <c r="BR54" i="28"/>
  <c r="BR56" i="28"/>
  <c r="BR55" i="28"/>
  <c r="BQ59" i="28"/>
  <c r="BQ69" i="28" s="1"/>
  <c r="BR59" i="28" l="1"/>
  <c r="BR69" i="28" s="1"/>
  <c r="BS54" i="28"/>
  <c r="BV54" i="28" s="1"/>
  <c r="BS56" i="28"/>
  <c r="BV56" i="28" s="1"/>
  <c r="BT111" i="28"/>
  <c r="BS53" i="28"/>
  <c r="BV53" i="28" s="1"/>
  <c r="BS52" i="28"/>
  <c r="BS55" i="28"/>
  <c r="BV55" i="28" s="1"/>
  <c r="BS57" i="28"/>
  <c r="BV57" i="28" s="1"/>
  <c r="BS59" i="28" l="1"/>
  <c r="BS69" i="28" s="1"/>
  <c r="L105" i="28" s="1"/>
  <c r="BV52" i="28"/>
  <c r="BT52" i="28"/>
  <c r="BT56" i="28"/>
  <c r="BW56" i="28" s="1"/>
  <c r="BX56" i="28" s="1"/>
  <c r="BU111" i="28"/>
  <c r="BT54" i="28"/>
  <c r="BW54" i="28" s="1"/>
  <c r="BT55" i="28"/>
  <c r="BW55" i="28" s="1"/>
  <c r="BX55" i="28" s="1"/>
  <c r="BT53" i="28"/>
  <c r="BW53" i="28" s="1"/>
  <c r="BX53" i="28" s="1"/>
  <c r="BT57" i="28"/>
  <c r="BW57" i="28" s="1"/>
  <c r="BX57" i="28" s="1"/>
  <c r="BX54" i="28"/>
  <c r="BU56" i="28" l="1"/>
  <c r="BU54" i="28"/>
  <c r="BU53" i="28"/>
  <c r="BU52" i="28"/>
  <c r="BU55" i="28"/>
  <c r="BU57" i="28"/>
  <c r="BV59" i="28"/>
  <c r="BV69" i="28" s="1"/>
  <c r="BT59" i="28"/>
  <c r="BT69" i="28" s="1"/>
  <c r="M105" i="28" s="1"/>
  <c r="M108" i="28" s="1"/>
  <c r="BW52" i="28"/>
  <c r="BW59" i="28" s="1"/>
  <c r="BW69" i="28" s="1"/>
  <c r="L108" i="28"/>
  <c r="BX52" i="28" l="1"/>
  <c r="BX59" i="28" s="1"/>
  <c r="BX69" i="28" s="1"/>
  <c r="N105" i="28"/>
  <c r="N108" i="28" s="1"/>
  <c r="BU59" i="28"/>
  <c r="BU69" i="28" s="1"/>
</calcChain>
</file>

<file path=xl/sharedStrings.xml><?xml version="1.0" encoding="utf-8"?>
<sst xmlns="http://schemas.openxmlformats.org/spreadsheetml/2006/main" count="421" uniqueCount="126">
  <si>
    <t>PRINCIPAL</t>
  </si>
  <si>
    <t>INTEREST</t>
  </si>
  <si>
    <t xml:space="preserve"> </t>
  </si>
  <si>
    <t>Total</t>
  </si>
  <si>
    <t>Governmental Activities</t>
  </si>
  <si>
    <t>Principal</t>
  </si>
  <si>
    <t>Interest</t>
  </si>
  <si>
    <t>FY 2025</t>
  </si>
  <si>
    <t>FY 2026</t>
  </si>
  <si>
    <t xml:space="preserve">Total </t>
  </si>
  <si>
    <t>Fund</t>
  </si>
  <si>
    <t xml:space="preserve">Interest </t>
  </si>
  <si>
    <t>TOTAL P &amp; I</t>
  </si>
  <si>
    <t>FY 2023</t>
  </si>
  <si>
    <t>FY 2024</t>
  </si>
  <si>
    <t>FY 2027</t>
  </si>
  <si>
    <t>FY 2028</t>
  </si>
  <si>
    <t>FY 2029</t>
  </si>
  <si>
    <t>FY 2030</t>
  </si>
  <si>
    <t>FY 2031</t>
  </si>
  <si>
    <t>FY 2032</t>
  </si>
  <si>
    <t>FY 2033</t>
  </si>
  <si>
    <t>FY 2034</t>
  </si>
  <si>
    <t>Total of Fund 101</t>
  </si>
  <si>
    <t>Total of Fund 202</t>
  </si>
  <si>
    <t>Total of Fund 584</t>
  </si>
  <si>
    <t>Total of Fund 590</t>
  </si>
  <si>
    <t>Total of Fund 591</t>
  </si>
  <si>
    <t>Debt</t>
  </si>
  <si>
    <t>2029-2033</t>
  </si>
  <si>
    <t>O/S Principal</t>
  </si>
  <si>
    <t>Proof</t>
  </si>
  <si>
    <t>2004 Public Facilities Bonds TBA ($1,250,000)</t>
  </si>
  <si>
    <t>Sub-total*</t>
  </si>
  <si>
    <t>Maturity Date</t>
  </si>
  <si>
    <t>Downriver Sewage Disposal Revenue Bonds Series 2008D CWRF Project 5217-02</t>
  </si>
  <si>
    <t>Downriver Sewage Disposal Revenue Bonds Series 2008A CWRF Project 5217-03</t>
  </si>
  <si>
    <t>Downriver Sewage Disposal Revenue Bonds Series 2008B CWRF Project 5217-04</t>
  </si>
  <si>
    <t>Downriver Sewage Disposal Revenue Bonds Series 2008C CWRF Project 5217-05</t>
  </si>
  <si>
    <t>FY 2035</t>
  </si>
  <si>
    <t>FY 2036</t>
  </si>
  <si>
    <t>Total of Fund 372</t>
  </si>
  <si>
    <t>Total of Fund 247</t>
  </si>
  <si>
    <t>Total of Fund 243</t>
  </si>
  <si>
    <t>Downriver 2009 CIP Improvements Project SRF Project 5217-15</t>
  </si>
  <si>
    <t>Debt Type</t>
  </si>
  <si>
    <t>2005 SRF Project 5217-01 (Primary Tank) ($4,680,000)</t>
  </si>
  <si>
    <t>Downriver Sewage Disposal Revenue Bonds Series 2008D CWRF Project 5217-02 ($4,329,086)</t>
  </si>
  <si>
    <t>Downriver Sewage Disposal Revenue Bonds Series 2008A CWRF Project 5217-03 ($10,612,059)</t>
  </si>
  <si>
    <t>Downriver Sewage Disposal Revenue Bonds Series 2008B CWRF Project 5217-04 ($12,115,000)</t>
  </si>
  <si>
    <t>Downriver Sewage Disposal Revenue Bonds Series 2008C CWRF Project 5217-05 ($4,330,000)</t>
  </si>
  <si>
    <t>ECPAD  1 Series 2009A CWRF #5349-01 ($3,717,000)</t>
  </si>
  <si>
    <t>Downriver Sewage Disposal Completion Bonds 2007B ($15,790,000)</t>
  </si>
  <si>
    <t>Green Fees</t>
  </si>
  <si>
    <t>Water Billing Fees</t>
  </si>
  <si>
    <t>Ecorse Creek Fees</t>
  </si>
  <si>
    <t>Sewer Billing Fees</t>
  </si>
  <si>
    <t>Bond</t>
  </si>
  <si>
    <t>Loan</t>
  </si>
  <si>
    <t>Capital Lease</t>
  </si>
  <si>
    <t>ECPAD Installment Loan Wayne County Taylor Basin Project ($563,560)</t>
  </si>
  <si>
    <t>Downriver SRF Project 5419-01</t>
  </si>
  <si>
    <t>ECPAD 1 Taylor/Pelham Basin, Series 2014 ($2,630,000)</t>
  </si>
  <si>
    <t>Downriver SRF Project 5419-01 ($11,955,000.00)</t>
  </si>
  <si>
    <t>GENERAL OBLGATIONS (Issuance Amount)</t>
  </si>
  <si>
    <t>ENTERPRISE FUND (Issuance Amount)</t>
  </si>
  <si>
    <t>REVENUE BONDS - COMPONENT UNITS (Issuance Amount)</t>
  </si>
  <si>
    <t>Issuance Date</t>
  </si>
  <si>
    <t>Repayment Source</t>
  </si>
  <si>
    <t>TIFA Tax Captures</t>
  </si>
  <si>
    <t>BRDA Tax Captures</t>
  </si>
  <si>
    <t>Building Authority Tax</t>
  </si>
  <si>
    <t>Act 51 Revenue</t>
  </si>
  <si>
    <t>General Fund Revenue</t>
  </si>
  <si>
    <t>2015 Building Authority Refunding Bonds ($6,965,000)</t>
  </si>
  <si>
    <t>BRDA Tax Increment Refunding Bond, Series 2015 ($9,625,000)</t>
  </si>
  <si>
    <t>Downriver 2009 CIP Improvements SRF 5217-15 ($13,780,990)</t>
  </si>
  <si>
    <t>Downriver SRF Project 5420-01</t>
  </si>
  <si>
    <t>Series 2017A - Refunding Bond ($1,915,000)</t>
  </si>
  <si>
    <t>FY 2037</t>
  </si>
  <si>
    <t>Series 2017B - BRDA Refunding ($523,840) - Walmart</t>
  </si>
  <si>
    <t>Series 2017B - BRDA Refunding ($151,666) - Midtown Condos</t>
  </si>
  <si>
    <t>Series 2017B - BRDA Refunding ($1,369,494) - Chelsea Park Apts</t>
  </si>
  <si>
    <t>Golf Cart Leases TMGC ($217,127.68)</t>
  </si>
  <si>
    <t>Golf Cart Leases LTGC ($230,530.62)</t>
  </si>
  <si>
    <t>Dell Financial - Servers/Backup System ($680,910.71)</t>
  </si>
  <si>
    <t>Series 2018 Senior Lien Bonds</t>
  </si>
  <si>
    <t>Wayne County Junior Lien Bond (Promissory Note Payable in 5 years)</t>
  </si>
  <si>
    <t>FY 2038</t>
  </si>
  <si>
    <t>FY 2039</t>
  </si>
  <si>
    <t>FY 2040</t>
  </si>
  <si>
    <t>FY 2041</t>
  </si>
  <si>
    <t>FY 2042</t>
  </si>
  <si>
    <t>FY 2043</t>
  </si>
  <si>
    <t>Series 2018 Senior Lien Bonds ($55,225,000.00)</t>
  </si>
  <si>
    <t>Thereafter</t>
  </si>
  <si>
    <t>Component Unit Activities</t>
  </si>
  <si>
    <t>Business-type Activities</t>
  </si>
  <si>
    <t xml:space="preserve">Primary Tank 2005 SRF Project 5217-01 </t>
  </si>
  <si>
    <t>2019 Building Authority Bonds ($4,950,000)</t>
  </si>
  <si>
    <t>Total of Fund 469</t>
  </si>
  <si>
    <t>Other Debt</t>
  </si>
  <si>
    <t>DB - Direct Borrowing</t>
  </si>
  <si>
    <t>DP - Direct Placements</t>
  </si>
  <si>
    <t>DB/DP</t>
  </si>
  <si>
    <t>GASB 88</t>
  </si>
  <si>
    <t>PNC Equipment Note - Water Trucks ($239,033.27)</t>
  </si>
  <si>
    <t>Dell Financial - Monitors/Soundbar &amp; Mounts/Wyse Thin Client ($266,502.25)</t>
  </si>
  <si>
    <t>Wayne County Junior Lien Bond ($3,500,000 5 year promissory note)</t>
  </si>
  <si>
    <t>IT Telecommunications - Phone System Upgrade ($77,665.00)</t>
  </si>
  <si>
    <t>Wells Fargo Financial - Citywide Ricoh Copiers ($163,829.91)</t>
  </si>
  <si>
    <t>Wells Fargo Financia l- Court Ricoh Copier ($49,821.31)</t>
  </si>
  <si>
    <t>Downriver SRF Project 5420-01 ($17,243,343.00)</t>
  </si>
  <si>
    <t>Wells Fargo Financial - 4 Copiers ($23,384.56)</t>
  </si>
  <si>
    <t>WIFIA Loan - DUWA</t>
  </si>
  <si>
    <t>FY 2044-2057</t>
  </si>
  <si>
    <t>IT Wifi Upgrde Citywide ($54,770.36)</t>
  </si>
  <si>
    <t>Comerica Leasing - 2 Elgin Pelican Sweeper Trucks ($454,909.20)</t>
  </si>
  <si>
    <t>Total of Fund 597</t>
  </si>
  <si>
    <t>Total of Fund 373</t>
  </si>
  <si>
    <t>at 6/30/23</t>
  </si>
  <si>
    <t>MTF Series 2021 ($14,355,000)</t>
  </si>
  <si>
    <t>EPA Levy/Sewer Billing Fees</t>
  </si>
  <si>
    <t>Total Principal and Interest - Enterprise Funds</t>
  </si>
  <si>
    <t>Total Principal and Interest - Component Units</t>
  </si>
  <si>
    <t>Total Principal and Interest - General Government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</si>
</sst>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41" formatCode="_(* #,##0_);_(* \(#,##0\);_(* &quot;-&quot;_);_(@_)"/>
    <numFmt numFmtId="164" formatCode="mmmm\ d\,\ yyyy"/>
    <numFmt numFmtId="165" formatCode="_(* #,##0.00_);_(* \(#,##0.00\);_(* &quot;-&quot;_);_(@_)"/>
    <numFmt numFmtId="166" formatCode="_(* ###0_);[Red]_(* \(###0\);_(* &quot;-&quot;_0_0_);_(@_)"/>
    <numFmt numFmtId="167" formatCode="_(* #,##0.0_);[Red]_(* \(#,##0.0\);_(* &quot;-&quot;_0_0_._0_);_(@_)"/>
    <numFmt numFmtId="168" formatCode="_(&quot;$&quot;* #,##0.0_);[Red]_(&quot;$&quot;* \(#,##0.0\);_(&quot;$&quot;* &quot;-&quot;_0_0_._0_);_(@_)"/>
    <numFmt numFmtId="169" formatCode="_(* #,##0_);_(* \(#,##0\);_(* &quot;-   &quot;_);_(@_)"/>
    <numFmt numFmtId="170" formatCode="_(&quot;$&quot;* #,##0_);_(&quot;$&quot;* \(#,##0\);_(&quot;$&quot;* &quot;-   &quot;_);_(@_)"/>
    <numFmt numFmtId="171" formatCode="_(* #,##0%_);[Red]_(* \(#,##0%\);_(* &quot;-&quot;_0\%_);_(@_)"/>
    <numFmt numFmtId="172" formatCode="_(* #,##0.0%_);[Red]_(* \(#,##0.0%\);_(* &quot;-&quot;_._0\%_);_(@_)"/>
    <numFmt numFmtId="173" formatCode="_(* #,##0_);[Red]_(* \(#,##0\);_(* &quot;-&quot;_0_0_);_(@_)"/>
    <numFmt numFmtId="174" formatCode="0.00000%"/>
  </numFmts>
  <fonts count="19">
    <font>
      <sz val="10"/>
      <name val="Arial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 val="singleAccounting"/>
      <sz val="10"/>
      <name val="Arial"/>
      <family val="2"/>
    </font>
    <font>
      <b/>
      <u val="singleAccounting"/>
      <sz val="10"/>
      <name val="Arial"/>
      <family val="2"/>
    </font>
    <font>
      <b/>
      <sz val="10"/>
      <name val="Arial"/>
      <family val="2"/>
    </font>
    <font>
      <u/>
      <sz val="7.5"/>
      <color indexed="12"/>
      <name val="Arial"/>
      <family val="2"/>
    </font>
    <font>
      <sz val="10"/>
      <name val="Arial"/>
      <family val="2"/>
    </font>
    <font>
      <sz val="12"/>
      <name val="Humanst521 BT"/>
      <family val="2"/>
    </font>
    <font>
      <sz val="11"/>
      <name val="Times New Roman"/>
      <family val="1"/>
    </font>
    <font>
      <u val="singleAccounting"/>
      <sz val="12"/>
      <name val="Humanst521 BT"/>
      <family val="2"/>
    </font>
    <font>
      <u val="doubleAccounting"/>
      <sz val="12"/>
      <name val="Humanst521 BT"/>
      <family val="2"/>
    </font>
    <font>
      <b/>
      <u val="doubleAccounting"/>
      <sz val="12"/>
      <name val="Humanst521 BT"/>
      <family val="2"/>
    </font>
    <font>
      <sz val="12"/>
      <name val="Humanst521 XBd BT"/>
      <family val="2"/>
    </font>
    <font>
      <u val="doubleAccounting"/>
      <sz val="10"/>
      <name val="Arial"/>
      <family val="2"/>
    </font>
    <font>
      <b/>
      <u val="singleAccounting"/>
      <sz val="9"/>
      <color indexed="12"/>
      <name val="Arial"/>
      <family val="2"/>
    </font>
    <font>
      <b/>
      <sz val="9"/>
      <color indexed="12"/>
      <name val="Arial"/>
      <family val="2"/>
    </font>
    <font>
      <b/>
      <u val="singleAccounting"/>
      <sz val="9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49" fontId="9" fillId="0" borderId="0" applyFont="0">
      <alignment horizontal="centerContinuous" wrapText="1"/>
    </xf>
    <xf numFmtId="49" fontId="10" fillId="0" borderId="0">
      <alignment horizontal="centerContinuous" wrapText="1"/>
    </xf>
    <xf numFmtId="49" fontId="11" fillId="0" borderId="0">
      <alignment horizontal="center" wrapText="1"/>
    </xf>
    <xf numFmtId="49" fontId="11" fillId="0" borderId="0">
      <alignment horizontal="centerContinuous" wrapText="1"/>
    </xf>
    <xf numFmtId="166" fontId="8" fillId="0" borderId="0" applyFill="0" applyBorder="0">
      <alignment horizontal="center" wrapText="1"/>
    </xf>
    <xf numFmtId="167" fontId="8" fillId="0" borderId="0" applyFont="0" applyFill="0" applyBorder="0" applyAlignment="0" applyProtection="0"/>
    <xf numFmtId="3" fontId="1" fillId="0" borderId="0" applyFill="0" applyBorder="0" applyAlignment="0" applyProtection="0"/>
    <xf numFmtId="168" fontId="8" fillId="0" borderId="0" applyFont="0" applyFill="0" applyBorder="0" applyAlignment="0" applyProtection="0"/>
    <xf numFmtId="5" fontId="1" fillId="0" borderId="0" applyFill="0" applyBorder="0" applyAlignment="0" applyProtection="0"/>
    <xf numFmtId="164" fontId="1" fillId="0" borderId="0" applyFill="0" applyBorder="0" applyAlignment="0" applyProtection="0"/>
    <xf numFmtId="169" fontId="12" fillId="0" borderId="0">
      <alignment horizontal="left"/>
    </xf>
    <xf numFmtId="2" fontId="1" fillId="0" borderId="0" applyFill="0" applyBorder="0" applyAlignment="0" applyProtection="0"/>
    <xf numFmtId="0" fontId="8" fillId="0" borderId="0" applyFont="0" applyFill="0" applyBorder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49" fontId="9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70" fontId="12" fillId="0" borderId="0"/>
    <xf numFmtId="170" fontId="9" fillId="0" borderId="0"/>
    <xf numFmtId="170" fontId="13" fillId="0" borderId="0"/>
    <xf numFmtId="169" fontId="9" fillId="0" borderId="0"/>
    <xf numFmtId="169" fontId="11" fillId="0" borderId="0"/>
    <xf numFmtId="171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49" fontId="9" fillId="0" borderId="0">
      <alignment horizontal="left" indent="2"/>
    </xf>
    <xf numFmtId="49" fontId="9" fillId="0" borderId="0">
      <alignment horizontal="left" indent="4"/>
    </xf>
    <xf numFmtId="49" fontId="9" fillId="0" borderId="0">
      <alignment horizontal="left" indent="6"/>
    </xf>
    <xf numFmtId="49" fontId="9" fillId="0" borderId="0">
      <alignment horizontal="left" indent="8"/>
    </xf>
    <xf numFmtId="49" fontId="9" fillId="0" borderId="0">
      <alignment horizontal="left"/>
    </xf>
    <xf numFmtId="49" fontId="14" fillId="0" borderId="0">
      <alignment horizontal="left" indent="4"/>
    </xf>
    <xf numFmtId="49" fontId="10" fillId="0" borderId="0" applyFont="0">
      <alignment horizontal="left" indent="10"/>
    </xf>
    <xf numFmtId="0" fontId="1" fillId="0" borderId="1" applyNumberFormat="0" applyFill="0" applyAlignment="0" applyProtection="0"/>
    <xf numFmtId="173" fontId="15" fillId="0" borderId="0" applyNumberFormat="0" applyFill="0" applyBorder="0" applyAlignment="0"/>
  </cellStyleXfs>
  <cellXfs count="47">
    <xf numFmtId="0" fontId="0" fillId="0" borderId="0" xfId="0"/>
    <xf numFmtId="41" fontId="1" fillId="0" borderId="0" xfId="19" applyNumberFormat="1" applyFill="1"/>
    <xf numFmtId="41" fontId="6" fillId="0" borderId="0" xfId="19" applyNumberFormat="1" applyFont="1" applyFill="1"/>
    <xf numFmtId="41" fontId="1" fillId="0" borderId="2" xfId="19" applyNumberFormat="1" applyFill="1" applyBorder="1"/>
    <xf numFmtId="41" fontId="1" fillId="0" borderId="0" xfId="19" applyNumberFormat="1" applyFill="1" applyBorder="1"/>
    <xf numFmtId="41" fontId="1" fillId="0" borderId="0" xfId="20" applyNumberFormat="1"/>
    <xf numFmtId="41" fontId="1" fillId="0" borderId="2" xfId="20" applyNumberFormat="1" applyBorder="1"/>
    <xf numFmtId="41" fontId="6" fillId="0" borderId="0" xfId="20" applyNumberFormat="1" applyFont="1"/>
    <xf numFmtId="41" fontId="6" fillId="0" borderId="0" xfId="19" applyNumberFormat="1" applyFont="1" applyFill="1" applyBorder="1"/>
    <xf numFmtId="41" fontId="6" fillId="0" borderId="0" xfId="19" applyNumberFormat="1" applyFont="1" applyFill="1" applyAlignment="1"/>
    <xf numFmtId="41" fontId="1" fillId="0" borderId="0" xfId="19" applyNumberFormat="1" applyFill="1" applyAlignment="1">
      <alignment wrapText="1"/>
    </xf>
    <xf numFmtId="0" fontId="6" fillId="0" borderId="0" xfId="22" applyNumberFormat="1" applyFont="1" applyFill="1"/>
    <xf numFmtId="0" fontId="6" fillId="0" borderId="0" xfId="22" quotePrefix="1" applyNumberFormat="1" applyFont="1" applyFill="1" applyAlignment="1">
      <alignment horizontal="right"/>
    </xf>
    <xf numFmtId="41" fontId="6" fillId="0" borderId="0" xfId="22" applyNumberFormat="1" applyFont="1" applyFill="1" applyAlignment="1">
      <alignment horizontal="right"/>
    </xf>
    <xf numFmtId="41" fontId="1" fillId="0" borderId="0" xfId="22" applyNumberFormat="1" applyFill="1"/>
    <xf numFmtId="41" fontId="1" fillId="0" borderId="2" xfId="22" applyNumberFormat="1" applyFill="1" applyBorder="1"/>
    <xf numFmtId="41" fontId="16" fillId="0" borderId="0" xfId="19" applyNumberFormat="1" applyFont="1" applyFill="1" applyAlignment="1">
      <alignment horizontal="center"/>
    </xf>
    <xf numFmtId="41" fontId="16" fillId="0" borderId="0" xfId="20" applyNumberFormat="1" applyFont="1"/>
    <xf numFmtId="41" fontId="17" fillId="0" borderId="0" xfId="19" applyNumberFormat="1" applyFont="1" applyFill="1" applyAlignment="1">
      <alignment horizontal="right"/>
    </xf>
    <xf numFmtId="41" fontId="1" fillId="0" borderId="0" xfId="21" applyNumberFormat="1"/>
    <xf numFmtId="41" fontId="1" fillId="0" borderId="0" xfId="23" applyNumberFormat="1" applyFill="1" applyBorder="1" applyAlignment="1"/>
    <xf numFmtId="14" fontId="1" fillId="0" borderId="0" xfId="19" applyNumberFormat="1" applyFill="1" applyBorder="1"/>
    <xf numFmtId="14" fontId="1" fillId="0" borderId="0" xfId="19" applyNumberFormat="1" applyFill="1"/>
    <xf numFmtId="14" fontId="1" fillId="0" borderId="2" xfId="19" applyNumberFormat="1" applyFill="1" applyBorder="1"/>
    <xf numFmtId="41" fontId="5" fillId="0" borderId="0" xfId="19" applyNumberFormat="1" applyFont="1" applyFill="1"/>
    <xf numFmtId="41" fontId="18" fillId="0" borderId="0" xfId="16" applyNumberFormat="1" applyFont="1" applyFill="1" applyAlignment="1" applyProtection="1">
      <alignment horizontal="center"/>
    </xf>
    <xf numFmtId="4" fontId="1" fillId="0" borderId="0" xfId="20" applyNumberFormat="1"/>
    <xf numFmtId="49" fontId="1" fillId="0" borderId="0" xfId="20" applyNumberFormat="1" applyAlignment="1">
      <alignment horizontal="center"/>
    </xf>
    <xf numFmtId="41" fontId="6" fillId="0" borderId="3" xfId="20" applyNumberFormat="1" applyFont="1" applyBorder="1"/>
    <xf numFmtId="14" fontId="1" fillId="0" borderId="0" xfId="20" applyNumberFormat="1"/>
    <xf numFmtId="41" fontId="1" fillId="0" borderId="0" xfId="20" applyNumberFormat="1" applyAlignment="1">
      <alignment wrapText="1"/>
    </xf>
    <xf numFmtId="4" fontId="1" fillId="0" borderId="0" xfId="19" applyNumberFormat="1" applyFill="1"/>
    <xf numFmtId="41" fontId="1" fillId="0" borderId="0" xfId="20" applyNumberFormat="1" applyAlignment="1">
      <alignment horizontal="center"/>
    </xf>
    <xf numFmtId="41" fontId="5" fillId="0" borderId="0" xfId="20" applyNumberFormat="1" applyFont="1"/>
    <xf numFmtId="41" fontId="5" fillId="0" borderId="0" xfId="20" applyNumberFormat="1" applyFont="1" applyAlignment="1">
      <alignment horizontal="center" wrapText="1"/>
    </xf>
    <xf numFmtId="41" fontId="6" fillId="0" borderId="0" xfId="19" applyNumberFormat="1" applyFont="1" applyFill="1" applyAlignment="1">
      <alignment horizontal="center" wrapText="1"/>
    </xf>
    <xf numFmtId="41" fontId="4" fillId="0" borderId="0" xfId="19" applyNumberFormat="1" applyFont="1" applyFill="1"/>
    <xf numFmtId="41" fontId="5" fillId="0" borderId="0" xfId="22" applyNumberFormat="1" applyFont="1" applyFill="1" applyBorder="1" applyAlignment="1">
      <alignment horizontal="center"/>
    </xf>
    <xf numFmtId="41" fontId="5" fillId="0" borderId="0" xfId="22" applyNumberFormat="1" applyFont="1" applyFill="1" applyAlignment="1">
      <alignment horizontal="center"/>
    </xf>
    <xf numFmtId="41" fontId="6" fillId="0" borderId="0" xfId="20" applyNumberFormat="1" applyFont="1" applyAlignment="1">
      <alignment horizontal="center"/>
    </xf>
    <xf numFmtId="165" fontId="1" fillId="0" borderId="0" xfId="20" applyNumberFormat="1"/>
    <xf numFmtId="174" fontId="1" fillId="0" borderId="4" xfId="20" applyNumberFormat="1" applyBorder="1"/>
    <xf numFmtId="41" fontId="6" fillId="0" borderId="5" xfId="19" applyNumberFormat="1" applyFont="1" applyFill="1" applyBorder="1"/>
    <xf numFmtId="41" fontId="6" fillId="0" borderId="5" xfId="20" applyNumberFormat="1" applyFont="1" applyBorder="1"/>
    <xf numFmtId="41" fontId="6" fillId="0" borderId="2" xfId="22" applyNumberFormat="1" applyFont="1" applyFill="1" applyBorder="1" applyAlignment="1">
      <alignment horizontal="center"/>
    </xf>
    <xf numFmtId="49" fontId="6" fillId="0" borderId="0" xfId="19" applyNumberFormat="1" applyFont="1" applyFill="1" applyAlignment="1">
      <alignment horizontal="center"/>
    </xf>
    <xf numFmtId="49" fontId="6" fillId="0" borderId="0" xfId="20" applyNumberFormat="1" applyFont="1" applyAlignment="1">
      <alignment horizontal="center"/>
    </xf>
  </cellXfs>
  <cellStyles count="40">
    <cellStyle name="Center Across Columns" xfId="1" xr:uid="{2EE9C0BC-FF7D-46D1-87CF-E4C84AD003A6}"/>
    <cellStyle name="Center Heading across cells" xfId="2" xr:uid="{FB73D518-326F-44D2-AB10-A2B50A361EA1}"/>
    <cellStyle name="Column Heading" xfId="3" xr:uid="{840ACDE2-D21D-4ABE-8AB0-59A53706D602}"/>
    <cellStyle name="Column Heading (across cells)" xfId="4" xr:uid="{223E0E5E-CA16-4EE1-92F3-BAD77001686A}"/>
    <cellStyle name="ColumnTop" xfId="5" xr:uid="{6C82C49A-B3CB-48B6-B97F-206211630394}"/>
    <cellStyle name="Comma [1]" xfId="6" xr:uid="{C67750F8-8E3B-4AD1-AB0F-1F8B2759CCCC}"/>
    <cellStyle name="Comma0" xfId="7" xr:uid="{120F2E8F-170F-472F-AEC7-C7E7FB83C17A}"/>
    <cellStyle name="Currency [1]" xfId="8" xr:uid="{DCC6B37C-88B6-4190-9E76-2205E4FA488D}"/>
    <cellStyle name="Currency0" xfId="9" xr:uid="{F209E0A8-4B43-4468-82B2-C60AF0944AD1}"/>
    <cellStyle name="Date" xfId="10" xr:uid="{5BDEB415-9EFA-4353-B179-3FB007ACFF5E}"/>
    <cellStyle name="DoubleOnly" xfId="11" xr:uid="{73630C8C-CB33-475C-A57A-57EF366209F5}"/>
    <cellStyle name="Fixed" xfId="12" xr:uid="{752C2B83-7306-48C6-92E0-78BE989157ED}"/>
    <cellStyle name="General" xfId="13" xr:uid="{3E70CA54-8443-40EC-8F3D-39E58FF9F9B1}"/>
    <cellStyle name="Heading 1" xfId="14" builtinId="16" customBuiltin="1"/>
    <cellStyle name="Heading 2" xfId="15" builtinId="17" customBuiltin="1"/>
    <cellStyle name="Hyperlink" xfId="16" builtinId="8"/>
    <cellStyle name="Level 1 (Normal)" xfId="17" xr:uid="{52ECA8AC-C154-464F-ADDC-99E180A9C51A}"/>
    <cellStyle name="Normal" xfId="0" builtinId="0"/>
    <cellStyle name="normal 2" xfId="18" xr:uid="{963BA4CF-867D-40BF-B838-1752E2C0F47E}"/>
    <cellStyle name="normal_LTD Footnote" xfId="19" xr:uid="{98DDCA45-7BF3-4B08-95B2-6F7B1852BB4E}"/>
    <cellStyle name="Normal_LTD Footnote to Maturity 2007" xfId="20" xr:uid="{C81B3E1E-C608-459E-A2FA-644993E51555}"/>
    <cellStyle name="Normal_LTD Footnote to Maturity 2007_N-7 LTD Footnote to Maturity 2010" xfId="21" xr:uid="{E123D958-C6B3-4006-A913-D1BA2FF3CDFC}"/>
    <cellStyle name="normal_LTD Footnote to Maturity 2008" xfId="22" xr:uid="{1ED631FF-0DF4-48A7-B6F6-4C10D0516CE4}"/>
    <cellStyle name="normal_LTD Footnote_N-7 LTD Footnote to Maturity 2010" xfId="23" xr:uid="{61571887-F596-4610-88AF-8138BF62C2C1}"/>
    <cellStyle name="Notes#Total" xfId="24" xr:uid="{2AA9A008-8934-49BD-BC02-5DDB277B547C}"/>
    <cellStyle name="numbers $ (no lines)" xfId="25" xr:uid="{F7BE0F3E-BFF6-48DA-AEC5-1E4308EDB701}"/>
    <cellStyle name="numbers $ double line" xfId="26" xr:uid="{089752A7-98BA-47A7-800C-3DAD7B0F6BA4}"/>
    <cellStyle name="numbers only" xfId="27" xr:uid="{2C8B1947-76CC-4D38-83B4-7D43103565BE}"/>
    <cellStyle name="numbers single line" xfId="28" xr:uid="{442C0548-85E8-4A11-A54E-80D6034B8BA9}"/>
    <cellStyle name="Percent [0]" xfId="29" xr:uid="{362D0EE5-B899-4F7E-82CE-03B770946CF0}"/>
    <cellStyle name="Percent [1]" xfId="30" xr:uid="{F5533385-E0F2-4203-A7D8-95F46CCA9E46}"/>
    <cellStyle name="Text Column (2 indents)" xfId="31" xr:uid="{5DFD7F52-12DD-4914-8843-899FDF6AF6CC}"/>
    <cellStyle name="Text Column (4 indents)" xfId="32" xr:uid="{0CCAA05E-EDE2-4F0D-A9C8-EE7B2114D406}"/>
    <cellStyle name="Text Column (6 indents)" xfId="33" xr:uid="{3ACCEA1B-A6C3-4781-AECA-735FE2D4E632}"/>
    <cellStyle name="Text Column (8 indents)" xfId="34" xr:uid="{D622A9B8-7281-42F1-A4DF-90D2AF604DA1}"/>
    <cellStyle name="Text Column (No indent)" xfId="35" xr:uid="{C27E5585-F8D2-4394-8B22-F37C82BC12FF}"/>
    <cellStyle name="Text Column (No indent)Bold" xfId="36" xr:uid="{8DAF2C8B-95C0-4035-9493-3E35AFA553D7}"/>
    <cellStyle name="Text Column (Total)" xfId="37" xr:uid="{BA5B7BCF-BC86-4597-B536-FFD59ABBDDFA}"/>
    <cellStyle name="Total" xfId="38" builtinId="25" customBuiltin="1"/>
    <cellStyle name="Underline_Dbl" xfId="39" xr:uid="{516B04D2-54F5-4329-A16C-767AB51F5669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C6032-1161-4405-9DBF-91E3FE6D8B71}">
  <dimension ref="A3:CB129"/>
  <sheetViews>
    <sheetView tabSelected="1" zoomScale="90" zoomScaleNormal="90" zoomScaleSheetLayoutView="100" workbookViewId="0">
      <pane xSplit="6" ySplit="8" topLeftCell="G9" activePane="bottomRight" state="frozen"/>
      <selection pane="topRight" activeCell="D1" sqref="D1"/>
      <selection pane="bottomLeft" activeCell="A9" sqref="A9"/>
      <selection pane="bottomRight" activeCell="G3" sqref="G3:N6"/>
    </sheetView>
  </sheetViews>
  <sheetFormatPr defaultColWidth="9.109375" defaultRowHeight="13.2"/>
  <cols>
    <col min="1" max="1" width="7.109375" style="5" customWidth="1"/>
    <col min="2" max="2" width="25.88671875" style="5" customWidth="1"/>
    <col min="3" max="3" width="14.6640625" style="5" bestFit="1" customWidth="1"/>
    <col min="4" max="4" width="13.33203125" style="32" customWidth="1"/>
    <col min="5" max="5" width="12.33203125" style="5" customWidth="1"/>
    <col min="6" max="6" width="56.6640625" style="5" customWidth="1"/>
    <col min="7" max="7" width="10.88671875" style="5" customWidth="1"/>
    <col min="8" max="11" width="14.44140625" style="5" customWidth="1"/>
    <col min="12" max="13" width="14.109375" style="5" customWidth="1"/>
    <col min="14" max="14" width="12.33203125" style="5" customWidth="1"/>
    <col min="15" max="15" width="12.44140625" style="5" customWidth="1"/>
    <col min="16" max="16" width="12.5546875" style="5" customWidth="1"/>
    <col min="17" max="17" width="12.44140625" style="5" customWidth="1"/>
    <col min="18" max="19" width="14.88671875" style="5" customWidth="1"/>
    <col min="20" max="25" width="12.33203125" style="5" customWidth="1"/>
    <col min="26" max="26" width="12.109375" style="5" customWidth="1"/>
    <col min="27" max="41" width="12.33203125" style="5" customWidth="1"/>
    <col min="42" max="73" width="13.5546875" style="5" customWidth="1"/>
    <col min="74" max="74" width="19.109375" style="5" bestFit="1" customWidth="1"/>
    <col min="75" max="75" width="12.33203125" style="5" bestFit="1" customWidth="1"/>
    <col min="76" max="76" width="13.44140625" style="5" bestFit="1" customWidth="1"/>
    <col min="77" max="77" width="18" style="5" bestFit="1" customWidth="1"/>
    <col min="78" max="78" width="13.5546875" style="5" customWidth="1"/>
    <col min="79" max="79" width="13.44140625" style="5" customWidth="1"/>
    <col min="80" max="80" width="13" style="5" bestFit="1" customWidth="1"/>
    <col min="81" max="16384" width="9.109375" style="5"/>
  </cols>
  <sheetData>
    <row r="3" spans="1:80">
      <c r="B3" s="5" t="s">
        <v>102</v>
      </c>
      <c r="G3" s="7"/>
      <c r="H3" s="7"/>
      <c r="I3" s="7"/>
      <c r="J3" s="7"/>
      <c r="K3" s="7"/>
      <c r="L3" s="7"/>
      <c r="M3" s="7"/>
      <c r="N3" s="7"/>
    </row>
    <row r="4" spans="1:80">
      <c r="B4" s="5" t="s">
        <v>103</v>
      </c>
      <c r="G4" s="7"/>
      <c r="H4" s="7"/>
      <c r="I4" s="7"/>
      <c r="J4" s="7"/>
      <c r="K4" s="7"/>
      <c r="L4" s="7"/>
      <c r="M4" s="7"/>
      <c r="N4" s="7"/>
    </row>
    <row r="5" spans="1:80">
      <c r="F5" s="32"/>
      <c r="G5" s="45"/>
      <c r="H5" s="39" t="s">
        <v>13</v>
      </c>
      <c r="I5" s="39"/>
      <c r="J5" s="46" t="s">
        <v>13</v>
      </c>
      <c r="K5" s="39" t="s">
        <v>14</v>
      </c>
      <c r="L5" s="7"/>
      <c r="M5" s="46" t="s">
        <v>14</v>
      </c>
      <c r="N5" s="46" t="s">
        <v>7</v>
      </c>
      <c r="O5" s="27"/>
      <c r="P5" s="27" t="s">
        <v>7</v>
      </c>
      <c r="Q5" s="27" t="s">
        <v>8</v>
      </c>
      <c r="S5" s="27" t="s">
        <v>8</v>
      </c>
      <c r="T5" s="32" t="s">
        <v>15</v>
      </c>
      <c r="U5" s="32"/>
      <c r="V5" s="27" t="s">
        <v>15</v>
      </c>
      <c r="W5" s="32" t="s">
        <v>16</v>
      </c>
      <c r="X5" s="32"/>
      <c r="Y5" s="27" t="s">
        <v>16</v>
      </c>
      <c r="Z5" s="32" t="s">
        <v>17</v>
      </c>
      <c r="AB5" s="27" t="s">
        <v>17</v>
      </c>
      <c r="AC5" s="32" t="s">
        <v>18</v>
      </c>
      <c r="AD5" s="32"/>
      <c r="AE5" s="27" t="s">
        <v>18</v>
      </c>
      <c r="AF5" s="32" t="s">
        <v>19</v>
      </c>
      <c r="AG5" s="32"/>
      <c r="AH5" s="27" t="s">
        <v>19</v>
      </c>
      <c r="AI5" s="32" t="s">
        <v>20</v>
      </c>
      <c r="AK5" s="27" t="s">
        <v>20</v>
      </c>
      <c r="AL5" s="32" t="s">
        <v>21</v>
      </c>
      <c r="AM5" s="32"/>
      <c r="AN5" s="27" t="s">
        <v>21</v>
      </c>
      <c r="AO5" s="32" t="s">
        <v>22</v>
      </c>
      <c r="AP5" s="32"/>
      <c r="AQ5" s="27" t="s">
        <v>22</v>
      </c>
      <c r="AR5" s="32" t="s">
        <v>39</v>
      </c>
      <c r="AS5" s="32"/>
      <c r="AT5" s="27" t="s">
        <v>39</v>
      </c>
      <c r="AU5" s="32" t="s">
        <v>40</v>
      </c>
      <c r="AV5" s="32"/>
      <c r="AW5" s="27" t="s">
        <v>40</v>
      </c>
      <c r="AX5" s="32" t="s">
        <v>79</v>
      </c>
      <c r="AY5" s="32"/>
      <c r="AZ5" s="27" t="s">
        <v>79</v>
      </c>
      <c r="BA5" s="32" t="s">
        <v>88</v>
      </c>
      <c r="BB5" s="32"/>
      <c r="BC5" s="27" t="s">
        <v>88</v>
      </c>
      <c r="BD5" s="32" t="s">
        <v>89</v>
      </c>
      <c r="BE5" s="32"/>
      <c r="BF5" s="27" t="s">
        <v>89</v>
      </c>
      <c r="BG5" s="32" t="s">
        <v>90</v>
      </c>
      <c r="BH5" s="32"/>
      <c r="BI5" s="27" t="s">
        <v>90</v>
      </c>
      <c r="BJ5" s="32" t="s">
        <v>91</v>
      </c>
      <c r="BK5" s="32"/>
      <c r="BL5" s="27" t="s">
        <v>91</v>
      </c>
      <c r="BM5" s="32" t="s">
        <v>92</v>
      </c>
      <c r="BN5" s="32"/>
      <c r="BO5" s="27" t="s">
        <v>92</v>
      </c>
      <c r="BP5" s="32" t="s">
        <v>93</v>
      </c>
      <c r="BQ5" s="32"/>
      <c r="BR5" s="27" t="s">
        <v>93</v>
      </c>
      <c r="BS5" s="32" t="s">
        <v>115</v>
      </c>
      <c r="BT5" s="32"/>
      <c r="BU5" s="27" t="s">
        <v>115</v>
      </c>
      <c r="BV5" s="5" t="s">
        <v>9</v>
      </c>
      <c r="BW5" s="5" t="s">
        <v>9</v>
      </c>
      <c r="BX5" s="5" t="s">
        <v>3</v>
      </c>
    </row>
    <row r="6" spans="1:80">
      <c r="F6" s="5" t="s">
        <v>2</v>
      </c>
      <c r="G6" s="2"/>
      <c r="H6" s="7" t="s">
        <v>0</v>
      </c>
      <c r="I6" s="7" t="s">
        <v>1</v>
      </c>
      <c r="J6" s="2" t="s">
        <v>12</v>
      </c>
      <c r="K6" s="7" t="s">
        <v>0</v>
      </c>
      <c r="L6" s="7" t="s">
        <v>1</v>
      </c>
      <c r="M6" s="2" t="s">
        <v>12</v>
      </c>
      <c r="N6" s="2" t="s">
        <v>0</v>
      </c>
      <c r="O6" s="1" t="s">
        <v>1</v>
      </c>
      <c r="P6" s="1" t="s">
        <v>12</v>
      </c>
      <c r="Q6" s="1" t="s">
        <v>0</v>
      </c>
      <c r="R6" s="1" t="s">
        <v>1</v>
      </c>
      <c r="S6" s="1" t="s">
        <v>12</v>
      </c>
      <c r="T6" s="5" t="s">
        <v>0</v>
      </c>
      <c r="U6" s="5" t="s">
        <v>1</v>
      </c>
      <c r="V6" s="1" t="s">
        <v>12</v>
      </c>
      <c r="W6" s="5" t="s">
        <v>0</v>
      </c>
      <c r="X6" s="5" t="s">
        <v>1</v>
      </c>
      <c r="Y6" s="1" t="s">
        <v>12</v>
      </c>
      <c r="Z6" s="5" t="s">
        <v>0</v>
      </c>
      <c r="AA6" s="5" t="s">
        <v>1</v>
      </c>
      <c r="AB6" s="1" t="s">
        <v>12</v>
      </c>
      <c r="AC6" s="5" t="s">
        <v>0</v>
      </c>
      <c r="AD6" s="5" t="s">
        <v>1</v>
      </c>
      <c r="AE6" s="1" t="s">
        <v>12</v>
      </c>
      <c r="AF6" s="5" t="s">
        <v>0</v>
      </c>
      <c r="AG6" s="5" t="s">
        <v>1</v>
      </c>
      <c r="AH6" s="1" t="s">
        <v>12</v>
      </c>
      <c r="AI6" s="5" t="s">
        <v>0</v>
      </c>
      <c r="AJ6" s="5" t="s">
        <v>1</v>
      </c>
      <c r="AK6" s="1" t="s">
        <v>12</v>
      </c>
      <c r="AL6" s="5" t="s">
        <v>0</v>
      </c>
      <c r="AM6" s="5" t="s">
        <v>1</v>
      </c>
      <c r="AN6" s="1" t="s">
        <v>12</v>
      </c>
      <c r="AO6" s="5" t="s">
        <v>0</v>
      </c>
      <c r="AP6" s="5" t="s">
        <v>1</v>
      </c>
      <c r="AQ6" s="1" t="s">
        <v>12</v>
      </c>
      <c r="AR6" s="5" t="s">
        <v>0</v>
      </c>
      <c r="AS6" s="5" t="s">
        <v>1</v>
      </c>
      <c r="AT6" s="1" t="s">
        <v>12</v>
      </c>
      <c r="AU6" s="5" t="s">
        <v>0</v>
      </c>
      <c r="AV6" s="5" t="s">
        <v>1</v>
      </c>
      <c r="AW6" s="1" t="s">
        <v>12</v>
      </c>
      <c r="AX6" s="5" t="s">
        <v>0</v>
      </c>
      <c r="AY6" s="5" t="s">
        <v>1</v>
      </c>
      <c r="AZ6" s="1" t="s">
        <v>12</v>
      </c>
      <c r="BA6" s="5" t="s">
        <v>0</v>
      </c>
      <c r="BB6" s="5" t="s">
        <v>1</v>
      </c>
      <c r="BC6" s="1" t="s">
        <v>12</v>
      </c>
      <c r="BD6" s="5" t="s">
        <v>0</v>
      </c>
      <c r="BE6" s="5" t="s">
        <v>1</v>
      </c>
      <c r="BF6" s="1" t="s">
        <v>12</v>
      </c>
      <c r="BG6" s="5" t="s">
        <v>0</v>
      </c>
      <c r="BH6" s="5" t="s">
        <v>1</v>
      </c>
      <c r="BI6" s="1" t="s">
        <v>12</v>
      </c>
      <c r="BJ6" s="5" t="s">
        <v>0</v>
      </c>
      <c r="BK6" s="5" t="s">
        <v>1</v>
      </c>
      <c r="BL6" s="1" t="s">
        <v>12</v>
      </c>
      <c r="BM6" s="5" t="s">
        <v>0</v>
      </c>
      <c r="BN6" s="5" t="s">
        <v>1</v>
      </c>
      <c r="BO6" s="1" t="s">
        <v>12</v>
      </c>
      <c r="BP6" s="5" t="s">
        <v>0</v>
      </c>
      <c r="BQ6" s="5" t="s">
        <v>1</v>
      </c>
      <c r="BR6" s="1" t="s">
        <v>12</v>
      </c>
      <c r="BS6" s="5" t="s">
        <v>0</v>
      </c>
      <c r="BT6" s="5" t="s">
        <v>1</v>
      </c>
      <c r="BU6" s="1" t="s">
        <v>12</v>
      </c>
      <c r="BV6" s="5" t="s">
        <v>30</v>
      </c>
      <c r="BW6" s="5" t="s">
        <v>6</v>
      </c>
      <c r="BX6" s="5" t="s">
        <v>28</v>
      </c>
    </row>
    <row r="7" spans="1:80">
      <c r="G7" s="4"/>
      <c r="BV7" s="5" t="s">
        <v>120</v>
      </c>
    </row>
    <row r="8" spans="1:80" ht="33.6">
      <c r="A8" s="33" t="s">
        <v>10</v>
      </c>
      <c r="B8" s="34" t="s">
        <v>68</v>
      </c>
      <c r="C8" s="34" t="s">
        <v>45</v>
      </c>
      <c r="D8" s="34" t="s">
        <v>105</v>
      </c>
      <c r="E8" s="34" t="s">
        <v>67</v>
      </c>
      <c r="F8" s="24" t="s">
        <v>64</v>
      </c>
      <c r="G8" s="35" t="s">
        <v>34</v>
      </c>
    </row>
    <row r="9" spans="1:80" ht="15">
      <c r="F9" s="36"/>
      <c r="G9" s="1"/>
    </row>
    <row r="10" spans="1:80"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W10" s="1"/>
      <c r="BX10" s="1"/>
      <c r="BY10" s="1"/>
      <c r="BZ10" s="1"/>
      <c r="CA10" s="1"/>
      <c r="CB10" s="1"/>
    </row>
    <row r="11" spans="1:80">
      <c r="A11" s="5">
        <v>101</v>
      </c>
      <c r="B11" s="5" t="s">
        <v>73</v>
      </c>
      <c r="C11" s="5" t="s">
        <v>59</v>
      </c>
      <c r="D11" s="32" t="s">
        <v>104</v>
      </c>
      <c r="E11" s="29">
        <v>43157</v>
      </c>
      <c r="F11" s="5" t="s">
        <v>111</v>
      </c>
      <c r="G11" s="21">
        <v>44983</v>
      </c>
      <c r="H11" s="5">
        <v>7587.17</v>
      </c>
      <c r="I11" s="5">
        <v>175</v>
      </c>
      <c r="J11" s="4">
        <f t="shared" ref="J11:J18" si="0">SUM(H11:I11)</f>
        <v>7762.17</v>
      </c>
      <c r="M11" s="4"/>
      <c r="P11" s="4">
        <f t="shared" ref="P11:P18" si="1">SUM(N11:O11)</f>
        <v>0</v>
      </c>
      <c r="S11" s="4">
        <f t="shared" ref="S11:S18" si="2">SUM(Q11:R11)</f>
        <v>0</v>
      </c>
      <c r="V11" s="4">
        <f t="shared" ref="V11:V18" si="3">SUM(T11:U11)</f>
        <v>0</v>
      </c>
      <c r="Y11" s="4"/>
      <c r="AB11" s="4"/>
      <c r="AE11" s="4"/>
      <c r="AH11" s="4"/>
      <c r="AK11" s="4"/>
      <c r="AN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5">
        <f t="shared" ref="BV11:BV18" si="4">+AO11+Z11+T11+Q11+N11+K11+AC11+AF11+AI11+AL11+W11+AR11+AU11+AX11+BA11+BD11+BG11+BJ11+BM11+BP11+BS11</f>
        <v>0</v>
      </c>
      <c r="BW11" s="5">
        <f t="shared" ref="BW11:BW18" si="5">+AP11+AA11+U11+R11+O11+L11+AD11+AG11+AJ11+AM11+X11+AS11+AV11+AY11+BB11++BE11+BH11+BK11++BN11+BQ11+BT11</f>
        <v>0</v>
      </c>
      <c r="BX11" s="4">
        <f t="shared" ref="BX11:BX18" si="6">SUM(BV11:BW11)</f>
        <v>0</v>
      </c>
    </row>
    <row r="12" spans="1:80">
      <c r="A12" s="5">
        <v>101</v>
      </c>
      <c r="B12" s="5" t="s">
        <v>73</v>
      </c>
      <c r="C12" s="5" t="s">
        <v>59</v>
      </c>
      <c r="D12" s="32" t="s">
        <v>104</v>
      </c>
      <c r="E12" s="29">
        <v>43158</v>
      </c>
      <c r="F12" s="5" t="s">
        <v>110</v>
      </c>
      <c r="G12" s="21">
        <v>44984</v>
      </c>
      <c r="H12" s="5">
        <v>24950</v>
      </c>
      <c r="I12" s="5">
        <v>573</v>
      </c>
      <c r="J12" s="4">
        <f t="shared" si="0"/>
        <v>25523</v>
      </c>
      <c r="M12" s="4"/>
      <c r="P12" s="4">
        <f t="shared" si="1"/>
        <v>0</v>
      </c>
      <c r="S12" s="4">
        <f t="shared" si="2"/>
        <v>0</v>
      </c>
      <c r="V12" s="4">
        <f t="shared" si="3"/>
        <v>0</v>
      </c>
      <c r="Y12" s="4"/>
      <c r="AB12" s="4"/>
      <c r="AE12" s="4"/>
      <c r="AH12" s="4"/>
      <c r="AK12" s="4"/>
      <c r="AN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5">
        <f t="shared" si="4"/>
        <v>0</v>
      </c>
      <c r="BW12" s="5">
        <f t="shared" si="5"/>
        <v>0</v>
      </c>
      <c r="BX12" s="4">
        <f t="shared" si="6"/>
        <v>0</v>
      </c>
    </row>
    <row r="13" spans="1:80">
      <c r="A13" s="5">
        <v>101</v>
      </c>
      <c r="B13" s="5" t="s">
        <v>73</v>
      </c>
      <c r="C13" s="5" t="s">
        <v>59</v>
      </c>
      <c r="D13" s="32" t="s">
        <v>104</v>
      </c>
      <c r="E13" s="29">
        <v>44287</v>
      </c>
      <c r="F13" s="5" t="s">
        <v>113</v>
      </c>
      <c r="G13" s="21">
        <v>45111</v>
      </c>
      <c r="H13" s="5">
        <v>10399</v>
      </c>
      <c r="I13" s="5">
        <v>321</v>
      </c>
      <c r="J13" s="4">
        <f>SUM(H13:I13)</f>
        <v>10720</v>
      </c>
      <c r="K13" s="5">
        <v>0</v>
      </c>
      <c r="L13" s="5">
        <v>0</v>
      </c>
      <c r="M13" s="4">
        <f t="shared" ref="M13:M18" si="7">SUM(K13:L13)</f>
        <v>0</v>
      </c>
      <c r="P13" s="4">
        <f t="shared" si="1"/>
        <v>0</v>
      </c>
      <c r="S13" s="4">
        <f t="shared" si="2"/>
        <v>0</v>
      </c>
      <c r="V13" s="4">
        <f t="shared" si="3"/>
        <v>0</v>
      </c>
      <c r="Y13" s="4">
        <f>SUM(W13:X13)</f>
        <v>0</v>
      </c>
      <c r="AB13" s="4">
        <f>SUM(Z13:AA13)</f>
        <v>0</v>
      </c>
      <c r="AE13" s="4">
        <f>SUM(AC13:AD13)</f>
        <v>0</v>
      </c>
      <c r="AH13" s="4">
        <f>SUM(AF13:AG13)</f>
        <v>0</v>
      </c>
      <c r="AK13" s="4">
        <f>SUM(AI13:AJ13)</f>
        <v>0</v>
      </c>
      <c r="AN13" s="4">
        <f>SUM(AL13:AM13)</f>
        <v>0</v>
      </c>
      <c r="AQ13" s="4">
        <f>SUM(AO13:AP13)</f>
        <v>0</v>
      </c>
      <c r="AR13" s="4"/>
      <c r="AS13" s="4"/>
      <c r="AT13" s="4">
        <f>SUM(AR13:AS13)</f>
        <v>0</v>
      </c>
      <c r="AU13" s="4"/>
      <c r="AV13" s="4"/>
      <c r="AW13" s="4">
        <f>SUM(AU13:AV13)</f>
        <v>0</v>
      </c>
      <c r="AX13" s="4"/>
      <c r="AY13" s="4"/>
      <c r="AZ13" s="4">
        <f>SUM(AX13:AY13)</f>
        <v>0</v>
      </c>
      <c r="BA13" s="4"/>
      <c r="BB13" s="4"/>
      <c r="BC13" s="4">
        <f>SUM(BA13:BB13)</f>
        <v>0</v>
      </c>
      <c r="BD13" s="4"/>
      <c r="BE13" s="4"/>
      <c r="BF13" s="4">
        <f>SUM(BD13:BE13)</f>
        <v>0</v>
      </c>
      <c r="BG13" s="4"/>
      <c r="BH13" s="4"/>
      <c r="BI13" s="4">
        <f>SUM(BG13:BH13)</f>
        <v>0</v>
      </c>
      <c r="BJ13" s="4"/>
      <c r="BK13" s="4"/>
      <c r="BL13" s="4">
        <f>SUM(BJ13:BK13)</f>
        <v>0</v>
      </c>
      <c r="BM13" s="4"/>
      <c r="BN13" s="4"/>
      <c r="BO13" s="4">
        <f>SUM(BM13:BN13)</f>
        <v>0</v>
      </c>
      <c r="BP13" s="4"/>
      <c r="BQ13" s="4"/>
      <c r="BR13" s="4">
        <f>SUM(BP13:BQ13)</f>
        <v>0</v>
      </c>
      <c r="BS13" s="4"/>
      <c r="BT13" s="4"/>
      <c r="BU13" s="4">
        <f>SUM(BS13:BT13)</f>
        <v>0</v>
      </c>
      <c r="BV13" s="5">
        <f t="shared" si="4"/>
        <v>0</v>
      </c>
      <c r="BW13" s="5">
        <f t="shared" si="5"/>
        <v>0</v>
      </c>
      <c r="BX13" s="4">
        <f t="shared" si="6"/>
        <v>0</v>
      </c>
    </row>
    <row r="14" spans="1:80">
      <c r="A14" s="5">
        <v>101</v>
      </c>
      <c r="B14" s="5" t="s">
        <v>73</v>
      </c>
      <c r="C14" s="5" t="s">
        <v>59</v>
      </c>
      <c r="D14" s="32" t="s">
        <v>104</v>
      </c>
      <c r="E14" s="29">
        <v>44063</v>
      </c>
      <c r="F14" s="5" t="s">
        <v>109</v>
      </c>
      <c r="G14" s="21">
        <v>45158</v>
      </c>
      <c r="H14" s="5">
        <v>26369.11</v>
      </c>
      <c r="I14" s="5">
        <v>418.88</v>
      </c>
      <c r="J14" s="4">
        <f>SUM(H14:I14)</f>
        <v>26787.99</v>
      </c>
      <c r="K14" s="5">
        <v>4452.25</v>
      </c>
      <c r="L14" s="5">
        <v>12.41</v>
      </c>
      <c r="M14" s="4">
        <f t="shared" si="7"/>
        <v>4464.66</v>
      </c>
      <c r="P14" s="4">
        <f t="shared" si="1"/>
        <v>0</v>
      </c>
      <c r="S14" s="4">
        <f t="shared" si="2"/>
        <v>0</v>
      </c>
      <c r="V14" s="4">
        <f t="shared" si="3"/>
        <v>0</v>
      </c>
      <c r="Y14" s="4">
        <f>SUM(W14:X14)</f>
        <v>0</v>
      </c>
      <c r="AB14" s="4">
        <f>SUM(Z14:AA14)</f>
        <v>0</v>
      </c>
      <c r="AE14" s="4">
        <f>SUM(AC14:AD14)</f>
        <v>0</v>
      </c>
      <c r="AH14" s="4">
        <f>SUM(AF14:AG14)</f>
        <v>0</v>
      </c>
      <c r="AK14" s="4">
        <f>SUM(AI14:AJ14)</f>
        <v>0</v>
      </c>
      <c r="AN14" s="4">
        <f>SUM(AL14:AM14)</f>
        <v>0</v>
      </c>
      <c r="AQ14" s="4">
        <f>SUM(AO14:AP14)</f>
        <v>0</v>
      </c>
      <c r="AR14" s="4"/>
      <c r="AS14" s="4"/>
      <c r="AT14" s="4">
        <f>SUM(AR14:AS14)</f>
        <v>0</v>
      </c>
      <c r="AU14" s="4"/>
      <c r="AV14" s="4"/>
      <c r="AW14" s="4">
        <f>SUM(AU14:AV14)</f>
        <v>0</v>
      </c>
      <c r="AX14" s="4"/>
      <c r="AY14" s="4"/>
      <c r="AZ14" s="4">
        <f>SUM(AX14:AY14)</f>
        <v>0</v>
      </c>
      <c r="BA14" s="4"/>
      <c r="BB14" s="4"/>
      <c r="BC14" s="4">
        <f>SUM(BA14:BB14)</f>
        <v>0</v>
      </c>
      <c r="BD14" s="4"/>
      <c r="BE14" s="4"/>
      <c r="BF14" s="4">
        <f>SUM(BD14:BE14)</f>
        <v>0</v>
      </c>
      <c r="BG14" s="4"/>
      <c r="BH14" s="4"/>
      <c r="BI14" s="4">
        <f>SUM(BG14:BH14)</f>
        <v>0</v>
      </c>
      <c r="BJ14" s="4"/>
      <c r="BK14" s="4"/>
      <c r="BL14" s="4">
        <f>SUM(BJ14:BK14)</f>
        <v>0</v>
      </c>
      <c r="BM14" s="4"/>
      <c r="BN14" s="4"/>
      <c r="BO14" s="4">
        <f>SUM(BM14:BN14)</f>
        <v>0</v>
      </c>
      <c r="BP14" s="4"/>
      <c r="BQ14" s="4"/>
      <c r="BR14" s="4">
        <f>SUM(BP14:BQ14)</f>
        <v>0</v>
      </c>
      <c r="BS14" s="4"/>
      <c r="BT14" s="4"/>
      <c r="BU14" s="4">
        <f>SUM(BS14:BT14)</f>
        <v>0</v>
      </c>
      <c r="BV14" s="5">
        <f t="shared" si="4"/>
        <v>4452.25</v>
      </c>
      <c r="BW14" s="5">
        <f t="shared" si="5"/>
        <v>12.41</v>
      </c>
      <c r="BX14" s="4">
        <f t="shared" si="6"/>
        <v>4464.66</v>
      </c>
    </row>
    <row r="15" spans="1:80" ht="26.4">
      <c r="A15" s="5">
        <v>101</v>
      </c>
      <c r="B15" s="5" t="s">
        <v>73</v>
      </c>
      <c r="C15" s="5" t="s">
        <v>59</v>
      </c>
      <c r="D15" s="32" t="s">
        <v>104</v>
      </c>
      <c r="E15" s="29">
        <v>43497</v>
      </c>
      <c r="F15" s="30" t="s">
        <v>107</v>
      </c>
      <c r="G15" s="21">
        <v>45322</v>
      </c>
      <c r="H15" s="5">
        <v>56897.67</v>
      </c>
      <c r="I15" s="5">
        <v>3600</v>
      </c>
      <c r="J15" s="4">
        <f t="shared" si="0"/>
        <v>60497.67</v>
      </c>
      <c r="K15" s="5">
        <v>29636</v>
      </c>
      <c r="L15" s="5">
        <v>613</v>
      </c>
      <c r="M15" s="4">
        <f t="shared" si="7"/>
        <v>30249</v>
      </c>
      <c r="P15" s="4">
        <f t="shared" si="1"/>
        <v>0</v>
      </c>
      <c r="S15" s="4">
        <f t="shared" si="2"/>
        <v>0</v>
      </c>
      <c r="V15" s="4">
        <f t="shared" si="3"/>
        <v>0</v>
      </c>
      <c r="Y15" s="4"/>
      <c r="AB15" s="4"/>
      <c r="AE15" s="4"/>
      <c r="AH15" s="4"/>
      <c r="AK15" s="4"/>
      <c r="AN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5">
        <f t="shared" si="4"/>
        <v>29636</v>
      </c>
      <c r="BW15" s="5">
        <f t="shared" si="5"/>
        <v>613</v>
      </c>
      <c r="BX15" s="4">
        <f t="shared" si="6"/>
        <v>30249</v>
      </c>
    </row>
    <row r="16" spans="1:80">
      <c r="A16" s="5">
        <v>101</v>
      </c>
      <c r="B16" s="5" t="s">
        <v>73</v>
      </c>
      <c r="C16" s="5" t="s">
        <v>59</v>
      </c>
      <c r="D16" s="32" t="s">
        <v>104</v>
      </c>
      <c r="E16" s="29">
        <v>43497</v>
      </c>
      <c r="F16" s="5" t="s">
        <v>85</v>
      </c>
      <c r="G16" s="21">
        <v>45322</v>
      </c>
      <c r="H16" s="5">
        <v>145313.06</v>
      </c>
      <c r="I16" s="5">
        <v>9131.02</v>
      </c>
      <c r="J16" s="4">
        <f>SUM(H16:I16)</f>
        <v>154444.07999999999</v>
      </c>
      <c r="K16" s="5">
        <v>75668.03</v>
      </c>
      <c r="L16" s="5">
        <v>1554.01</v>
      </c>
      <c r="M16" s="4">
        <f t="shared" si="7"/>
        <v>77222.039999999994</v>
      </c>
      <c r="P16" s="4">
        <f t="shared" si="1"/>
        <v>0</v>
      </c>
      <c r="S16" s="4">
        <f t="shared" si="2"/>
        <v>0</v>
      </c>
      <c r="V16" s="4">
        <f t="shared" si="3"/>
        <v>0</v>
      </c>
      <c r="Y16" s="4"/>
      <c r="AB16" s="4"/>
      <c r="AE16" s="4"/>
      <c r="AH16" s="4"/>
      <c r="AK16" s="4"/>
      <c r="AN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5">
        <f t="shared" si="4"/>
        <v>75668.03</v>
      </c>
      <c r="BW16" s="5">
        <f t="shared" si="5"/>
        <v>1554.01</v>
      </c>
      <c r="BX16" s="4">
        <f t="shared" si="6"/>
        <v>77222.039999999994</v>
      </c>
    </row>
    <row r="17" spans="1:80">
      <c r="A17" s="5">
        <v>101</v>
      </c>
      <c r="B17" s="5" t="s">
        <v>73</v>
      </c>
      <c r="C17" s="5" t="s">
        <v>59</v>
      </c>
      <c r="D17" s="32" t="s">
        <v>104</v>
      </c>
      <c r="E17" s="29">
        <v>44400</v>
      </c>
      <c r="F17" s="5" t="s">
        <v>116</v>
      </c>
      <c r="G17" s="21">
        <v>45503</v>
      </c>
      <c r="H17" s="5">
        <v>18222</v>
      </c>
      <c r="I17" s="5">
        <v>625</v>
      </c>
      <c r="J17" s="4">
        <f>SUM(H17:I17)</f>
        <v>18847</v>
      </c>
      <c r="K17" s="5">
        <v>18605</v>
      </c>
      <c r="L17" s="5">
        <v>243</v>
      </c>
      <c r="M17" s="4">
        <f t="shared" si="7"/>
        <v>18848</v>
      </c>
      <c r="N17" s="5">
        <v>1568</v>
      </c>
      <c r="O17" s="5">
        <v>3</v>
      </c>
      <c r="P17" s="4">
        <f t="shared" si="1"/>
        <v>1571</v>
      </c>
      <c r="S17" s="4">
        <f t="shared" si="2"/>
        <v>0</v>
      </c>
      <c r="V17" s="4">
        <f t="shared" si="3"/>
        <v>0</v>
      </c>
      <c r="Y17" s="4"/>
      <c r="AB17" s="4"/>
      <c r="AE17" s="4"/>
      <c r="AH17" s="4"/>
      <c r="AK17" s="4"/>
      <c r="AN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5">
        <f t="shared" si="4"/>
        <v>20173</v>
      </c>
      <c r="BW17" s="5">
        <f t="shared" si="5"/>
        <v>246</v>
      </c>
      <c r="BX17" s="4">
        <f t="shared" si="6"/>
        <v>20419</v>
      </c>
    </row>
    <row r="18" spans="1:80" ht="26.4">
      <c r="A18" s="5">
        <v>101</v>
      </c>
      <c r="B18" s="5" t="s">
        <v>73</v>
      </c>
      <c r="C18" s="5" t="s">
        <v>59</v>
      </c>
      <c r="D18" s="32" t="s">
        <v>104</v>
      </c>
      <c r="E18" s="29">
        <v>44505</v>
      </c>
      <c r="F18" s="30" t="s">
        <v>117</v>
      </c>
      <c r="G18" s="21">
        <v>46331</v>
      </c>
      <c r="H18" s="6">
        <v>86716</v>
      </c>
      <c r="I18" s="6">
        <v>10923</v>
      </c>
      <c r="J18" s="3">
        <f t="shared" si="0"/>
        <v>97639</v>
      </c>
      <c r="K18" s="6">
        <v>88798.59</v>
      </c>
      <c r="L18" s="6">
        <v>8840.31</v>
      </c>
      <c r="M18" s="3">
        <f t="shared" si="7"/>
        <v>97638.9</v>
      </c>
      <c r="N18" s="6">
        <v>90930.64</v>
      </c>
      <c r="O18" s="6">
        <v>6708.25</v>
      </c>
      <c r="P18" s="3">
        <f t="shared" si="1"/>
        <v>97638.89</v>
      </c>
      <c r="Q18" s="6">
        <v>93113.89</v>
      </c>
      <c r="R18" s="6">
        <v>4525.01</v>
      </c>
      <c r="S18" s="3">
        <f t="shared" si="2"/>
        <v>97638.9</v>
      </c>
      <c r="T18" s="6">
        <v>95349.55</v>
      </c>
      <c r="U18" s="6">
        <v>2289.34</v>
      </c>
      <c r="V18" s="3">
        <f t="shared" si="3"/>
        <v>97638.89</v>
      </c>
      <c r="W18" s="6"/>
      <c r="X18" s="6"/>
      <c r="Y18" s="3"/>
      <c r="Z18" s="6"/>
      <c r="AA18" s="6"/>
      <c r="AB18" s="3"/>
      <c r="AC18" s="6"/>
      <c r="AD18" s="6"/>
      <c r="AE18" s="3"/>
      <c r="AF18" s="6"/>
      <c r="AG18" s="6"/>
      <c r="AH18" s="3"/>
      <c r="AI18" s="6"/>
      <c r="AJ18" s="6"/>
      <c r="AK18" s="3"/>
      <c r="AL18" s="6"/>
      <c r="AM18" s="6"/>
      <c r="AN18" s="3"/>
      <c r="AO18" s="6"/>
      <c r="AP18" s="6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6">
        <f t="shared" si="4"/>
        <v>368192.67000000004</v>
      </c>
      <c r="BW18" s="6">
        <f t="shared" si="5"/>
        <v>22362.91</v>
      </c>
      <c r="BX18" s="3">
        <f t="shared" si="6"/>
        <v>390555.58</v>
      </c>
    </row>
    <row r="19" spans="1:80">
      <c r="D19" s="32" t="s">
        <v>2</v>
      </c>
      <c r="E19" s="29"/>
      <c r="F19" s="7" t="s">
        <v>23</v>
      </c>
      <c r="G19" s="21"/>
      <c r="H19" s="7">
        <f t="shared" ref="H19:AM19" si="8">SUM(H11:H18)</f>
        <v>376454.01</v>
      </c>
      <c r="I19" s="7">
        <f t="shared" si="8"/>
        <v>25766.9</v>
      </c>
      <c r="J19" s="7">
        <f t="shared" si="8"/>
        <v>402220.91000000003</v>
      </c>
      <c r="K19" s="7">
        <f t="shared" si="8"/>
        <v>217159.87</v>
      </c>
      <c r="L19" s="7">
        <f t="shared" si="8"/>
        <v>11262.73</v>
      </c>
      <c r="M19" s="7">
        <f t="shared" si="8"/>
        <v>228422.59999999998</v>
      </c>
      <c r="N19" s="7">
        <f t="shared" si="8"/>
        <v>92498.64</v>
      </c>
      <c r="O19" s="7">
        <f t="shared" si="8"/>
        <v>6711.25</v>
      </c>
      <c r="P19" s="7">
        <f t="shared" si="8"/>
        <v>99209.89</v>
      </c>
      <c r="Q19" s="7">
        <f t="shared" si="8"/>
        <v>93113.89</v>
      </c>
      <c r="R19" s="7">
        <f t="shared" si="8"/>
        <v>4525.01</v>
      </c>
      <c r="S19" s="7">
        <f t="shared" si="8"/>
        <v>97638.9</v>
      </c>
      <c r="T19" s="7">
        <f t="shared" si="8"/>
        <v>95349.55</v>
      </c>
      <c r="U19" s="7">
        <f t="shared" si="8"/>
        <v>2289.34</v>
      </c>
      <c r="V19" s="7">
        <f t="shared" si="8"/>
        <v>97638.89</v>
      </c>
      <c r="W19" s="7">
        <f t="shared" si="8"/>
        <v>0</v>
      </c>
      <c r="X19" s="7">
        <f t="shared" si="8"/>
        <v>0</v>
      </c>
      <c r="Y19" s="7">
        <f t="shared" si="8"/>
        <v>0</v>
      </c>
      <c r="Z19" s="7">
        <f t="shared" si="8"/>
        <v>0</v>
      </c>
      <c r="AA19" s="7">
        <f t="shared" si="8"/>
        <v>0</v>
      </c>
      <c r="AB19" s="7">
        <f t="shared" si="8"/>
        <v>0</v>
      </c>
      <c r="AC19" s="7">
        <f t="shared" si="8"/>
        <v>0</v>
      </c>
      <c r="AD19" s="7">
        <f t="shared" si="8"/>
        <v>0</v>
      </c>
      <c r="AE19" s="7">
        <f t="shared" si="8"/>
        <v>0</v>
      </c>
      <c r="AF19" s="7">
        <f t="shared" si="8"/>
        <v>0</v>
      </c>
      <c r="AG19" s="7">
        <f t="shared" si="8"/>
        <v>0</v>
      </c>
      <c r="AH19" s="7">
        <f t="shared" si="8"/>
        <v>0</v>
      </c>
      <c r="AI19" s="7">
        <f t="shared" si="8"/>
        <v>0</v>
      </c>
      <c r="AJ19" s="7">
        <f t="shared" si="8"/>
        <v>0</v>
      </c>
      <c r="AK19" s="7">
        <f t="shared" si="8"/>
        <v>0</v>
      </c>
      <c r="AL19" s="7">
        <f t="shared" si="8"/>
        <v>0</v>
      </c>
      <c r="AM19" s="7">
        <f t="shared" si="8"/>
        <v>0</v>
      </c>
      <c r="AN19" s="7">
        <f t="shared" ref="AN19:BS19" si="9">SUM(AN11:AN18)</f>
        <v>0</v>
      </c>
      <c r="AO19" s="7">
        <f t="shared" si="9"/>
        <v>0</v>
      </c>
      <c r="AP19" s="7">
        <f t="shared" si="9"/>
        <v>0</v>
      </c>
      <c r="AQ19" s="7">
        <f t="shared" si="9"/>
        <v>0</v>
      </c>
      <c r="AR19" s="7">
        <f t="shared" si="9"/>
        <v>0</v>
      </c>
      <c r="AS19" s="7">
        <f t="shared" si="9"/>
        <v>0</v>
      </c>
      <c r="AT19" s="7">
        <f t="shared" si="9"/>
        <v>0</v>
      </c>
      <c r="AU19" s="7">
        <f t="shared" si="9"/>
        <v>0</v>
      </c>
      <c r="AV19" s="7">
        <f t="shared" si="9"/>
        <v>0</v>
      </c>
      <c r="AW19" s="7">
        <f t="shared" si="9"/>
        <v>0</v>
      </c>
      <c r="AX19" s="7">
        <f t="shared" si="9"/>
        <v>0</v>
      </c>
      <c r="AY19" s="7">
        <f t="shared" si="9"/>
        <v>0</v>
      </c>
      <c r="AZ19" s="7">
        <f t="shared" si="9"/>
        <v>0</v>
      </c>
      <c r="BA19" s="7">
        <f t="shared" si="9"/>
        <v>0</v>
      </c>
      <c r="BB19" s="7">
        <f t="shared" si="9"/>
        <v>0</v>
      </c>
      <c r="BC19" s="7">
        <f t="shared" si="9"/>
        <v>0</v>
      </c>
      <c r="BD19" s="7">
        <f t="shared" si="9"/>
        <v>0</v>
      </c>
      <c r="BE19" s="7">
        <f t="shared" si="9"/>
        <v>0</v>
      </c>
      <c r="BF19" s="7">
        <f t="shared" si="9"/>
        <v>0</v>
      </c>
      <c r="BG19" s="7">
        <f t="shared" si="9"/>
        <v>0</v>
      </c>
      <c r="BH19" s="7">
        <f t="shared" si="9"/>
        <v>0</v>
      </c>
      <c r="BI19" s="7">
        <f t="shared" si="9"/>
        <v>0</v>
      </c>
      <c r="BJ19" s="7">
        <f t="shared" si="9"/>
        <v>0</v>
      </c>
      <c r="BK19" s="7">
        <f t="shared" si="9"/>
        <v>0</v>
      </c>
      <c r="BL19" s="7">
        <f t="shared" si="9"/>
        <v>0</v>
      </c>
      <c r="BM19" s="7">
        <f t="shared" si="9"/>
        <v>0</v>
      </c>
      <c r="BN19" s="7">
        <f t="shared" si="9"/>
        <v>0</v>
      </c>
      <c r="BO19" s="7">
        <f t="shared" si="9"/>
        <v>0</v>
      </c>
      <c r="BP19" s="7">
        <f t="shared" si="9"/>
        <v>0</v>
      </c>
      <c r="BQ19" s="7">
        <f t="shared" si="9"/>
        <v>0</v>
      </c>
      <c r="BR19" s="7">
        <f t="shared" si="9"/>
        <v>0</v>
      </c>
      <c r="BS19" s="7">
        <f t="shared" si="9"/>
        <v>0</v>
      </c>
      <c r="BT19" s="7">
        <f>SUM(BT11:BT18)</f>
        <v>0</v>
      </c>
      <c r="BU19" s="7">
        <f>SUM(BU11:BU18)</f>
        <v>0</v>
      </c>
      <c r="BV19" s="7">
        <f>SUM(BV11:BV18)</f>
        <v>498121.95000000007</v>
      </c>
      <c r="BW19" s="7">
        <f>SUM(BW11:BW18)</f>
        <v>24788.33</v>
      </c>
      <c r="BX19" s="7">
        <f>SUM(BX11:BX18)</f>
        <v>522910.28</v>
      </c>
    </row>
    <row r="20" spans="1:80">
      <c r="C20" s="32"/>
      <c r="D20" s="32" t="s">
        <v>2</v>
      </c>
      <c r="E20" s="29"/>
      <c r="G20" s="21"/>
      <c r="J20" s="4"/>
      <c r="M20" s="4"/>
      <c r="P20" s="4"/>
      <c r="S20" s="4"/>
      <c r="V20" s="4"/>
      <c r="Y20" s="4"/>
      <c r="AB20" s="4"/>
      <c r="AE20" s="4"/>
      <c r="AH20" s="4"/>
      <c r="AK20" s="4"/>
      <c r="AN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X20" s="4"/>
    </row>
    <row r="21" spans="1:80" ht="12.75" customHeight="1">
      <c r="A21" s="5">
        <v>202</v>
      </c>
      <c r="B21" s="5" t="s">
        <v>72</v>
      </c>
      <c r="C21" s="5" t="s">
        <v>57</v>
      </c>
      <c r="D21" s="32" t="s">
        <v>101</v>
      </c>
      <c r="E21" s="29">
        <v>44328</v>
      </c>
      <c r="F21" s="5" t="s">
        <v>121</v>
      </c>
      <c r="G21" s="21">
        <v>49735</v>
      </c>
      <c r="H21" s="6">
        <v>740000</v>
      </c>
      <c r="I21" s="6">
        <f>270700*2</f>
        <v>541400</v>
      </c>
      <c r="J21" s="3">
        <f>SUM(H21:I21)</f>
        <v>1281400</v>
      </c>
      <c r="K21" s="6">
        <v>770000</v>
      </c>
      <c r="L21" s="6">
        <f>255900*2</f>
        <v>511800</v>
      </c>
      <c r="M21" s="3">
        <f>SUM(K21:L21)</f>
        <v>1281800</v>
      </c>
      <c r="N21" s="6">
        <v>800000</v>
      </c>
      <c r="O21" s="6">
        <f>240500*2</f>
        <v>481000</v>
      </c>
      <c r="P21" s="3">
        <f>SUM(N21:O21)</f>
        <v>1281000</v>
      </c>
      <c r="Q21" s="6">
        <v>830000</v>
      </c>
      <c r="R21" s="6">
        <f>224500*2</f>
        <v>449000</v>
      </c>
      <c r="S21" s="3">
        <f>SUM(Q21:R21)</f>
        <v>1279000</v>
      </c>
      <c r="T21" s="6">
        <v>865000</v>
      </c>
      <c r="U21" s="6">
        <f>207900*2</f>
        <v>415800</v>
      </c>
      <c r="V21" s="3">
        <f>SUM(T21:U21)</f>
        <v>1280800</v>
      </c>
      <c r="W21" s="6">
        <v>900000</v>
      </c>
      <c r="X21" s="6">
        <f>190600*2</f>
        <v>381200</v>
      </c>
      <c r="Y21" s="3">
        <f>SUM(W21:X21)</f>
        <v>1281200</v>
      </c>
      <c r="Z21" s="6">
        <v>935000</v>
      </c>
      <c r="AA21" s="6">
        <f>172600*2</f>
        <v>345200</v>
      </c>
      <c r="AB21" s="3">
        <f>SUM(Z21:AA21)</f>
        <v>1280200</v>
      </c>
      <c r="AC21" s="6">
        <v>975000</v>
      </c>
      <c r="AD21" s="6">
        <f>153900*2</f>
        <v>307800</v>
      </c>
      <c r="AE21" s="3">
        <f>SUM(AC21:AD21)</f>
        <v>1282800</v>
      </c>
      <c r="AF21" s="6">
        <v>1015000</v>
      </c>
      <c r="AG21" s="6">
        <f>134400*2</f>
        <v>268800</v>
      </c>
      <c r="AH21" s="3">
        <f>SUM(AF21:AG21)</f>
        <v>1283800</v>
      </c>
      <c r="AI21" s="6">
        <v>1055000</v>
      </c>
      <c r="AJ21" s="6">
        <f>114100*2</f>
        <v>228200</v>
      </c>
      <c r="AK21" s="3">
        <f>SUM(AI21:AJ21)</f>
        <v>1283200</v>
      </c>
      <c r="AL21" s="6">
        <v>1095000</v>
      </c>
      <c r="AM21" s="6">
        <f>93000*2</f>
        <v>186000</v>
      </c>
      <c r="AN21" s="3">
        <f>SUM(AL21:AM21)</f>
        <v>1281000</v>
      </c>
      <c r="AO21" s="6">
        <v>1140000</v>
      </c>
      <c r="AP21" s="6">
        <f>71100*2</f>
        <v>142200</v>
      </c>
      <c r="AQ21" s="3">
        <f>SUM(AO21:AP21)</f>
        <v>1282200</v>
      </c>
      <c r="AR21" s="3">
        <v>1185000</v>
      </c>
      <c r="AS21" s="3">
        <f>48300*2</f>
        <v>96600</v>
      </c>
      <c r="AT21" s="3">
        <f>SUM(AR21:AS21)</f>
        <v>1281600</v>
      </c>
      <c r="AU21" s="3">
        <v>1230000</v>
      </c>
      <c r="AV21" s="3">
        <f>24600*2</f>
        <v>49200</v>
      </c>
      <c r="AW21" s="3">
        <f>SUM(AU21:AV21)</f>
        <v>1279200</v>
      </c>
      <c r="AX21" s="3"/>
      <c r="AY21" s="3"/>
      <c r="AZ21" s="3">
        <f>SUM(AX21:AY21)</f>
        <v>0</v>
      </c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6">
        <f>+AO21+Z21+T21+Q21+N21+K21+AC21+AF21+AI21+AL21+W21+AR21+AU21+AX21+BA21+BD21+BG21+BJ21+BM21+BP21+BS21</f>
        <v>12795000</v>
      </c>
      <c r="BW21" s="6">
        <f>+AP21+AA21+U21+R21+O21+L21+AD21+AG21+AJ21+AM21+X21+AS21+AV21+AY21+BB21++BE21+BH21+BK21++BN21+BQ21+BT21</f>
        <v>3862800</v>
      </c>
      <c r="BX21" s="3">
        <f>SUM(BV21:BW21)</f>
        <v>16657800</v>
      </c>
    </row>
    <row r="22" spans="1:80" s="7" customFormat="1" ht="12.75" customHeight="1">
      <c r="D22" s="39"/>
      <c r="F22" s="7" t="s">
        <v>24</v>
      </c>
      <c r="G22" s="8"/>
      <c r="H22" s="8">
        <f t="shared" ref="H22:BP22" si="10">SUM(H21)</f>
        <v>740000</v>
      </c>
      <c r="I22" s="8">
        <f t="shared" si="10"/>
        <v>541400</v>
      </c>
      <c r="J22" s="8">
        <f t="shared" si="10"/>
        <v>1281400</v>
      </c>
      <c r="K22" s="8">
        <f t="shared" si="10"/>
        <v>770000</v>
      </c>
      <c r="L22" s="8">
        <f t="shared" si="10"/>
        <v>511800</v>
      </c>
      <c r="M22" s="8">
        <f t="shared" si="10"/>
        <v>1281800</v>
      </c>
      <c r="N22" s="8">
        <f t="shared" si="10"/>
        <v>800000</v>
      </c>
      <c r="O22" s="8">
        <f t="shared" si="10"/>
        <v>481000</v>
      </c>
      <c r="P22" s="8">
        <f t="shared" si="10"/>
        <v>1281000</v>
      </c>
      <c r="Q22" s="8">
        <f t="shared" si="10"/>
        <v>830000</v>
      </c>
      <c r="R22" s="8">
        <f t="shared" si="10"/>
        <v>449000</v>
      </c>
      <c r="S22" s="8">
        <f t="shared" si="10"/>
        <v>1279000</v>
      </c>
      <c r="T22" s="8">
        <f t="shared" si="10"/>
        <v>865000</v>
      </c>
      <c r="U22" s="8">
        <f t="shared" si="10"/>
        <v>415800</v>
      </c>
      <c r="V22" s="8">
        <f t="shared" si="10"/>
        <v>1280800</v>
      </c>
      <c r="W22" s="8">
        <f t="shared" si="10"/>
        <v>900000</v>
      </c>
      <c r="X22" s="8">
        <f t="shared" si="10"/>
        <v>381200</v>
      </c>
      <c r="Y22" s="8">
        <f t="shared" si="10"/>
        <v>1281200</v>
      </c>
      <c r="Z22" s="8">
        <f t="shared" si="10"/>
        <v>935000</v>
      </c>
      <c r="AA22" s="8">
        <f t="shared" si="10"/>
        <v>345200</v>
      </c>
      <c r="AB22" s="8">
        <f t="shared" si="10"/>
        <v>1280200</v>
      </c>
      <c r="AC22" s="8">
        <f t="shared" si="10"/>
        <v>975000</v>
      </c>
      <c r="AD22" s="8">
        <f t="shared" si="10"/>
        <v>307800</v>
      </c>
      <c r="AE22" s="8">
        <f t="shared" si="10"/>
        <v>1282800</v>
      </c>
      <c r="AF22" s="8">
        <f t="shared" si="10"/>
        <v>1015000</v>
      </c>
      <c r="AG22" s="8">
        <f t="shared" si="10"/>
        <v>268800</v>
      </c>
      <c r="AH22" s="8">
        <f t="shared" si="10"/>
        <v>1283800</v>
      </c>
      <c r="AI22" s="8">
        <f t="shared" si="10"/>
        <v>1055000</v>
      </c>
      <c r="AJ22" s="8">
        <f t="shared" si="10"/>
        <v>228200</v>
      </c>
      <c r="AK22" s="8">
        <f t="shared" si="10"/>
        <v>1283200</v>
      </c>
      <c r="AL22" s="8">
        <f t="shared" si="10"/>
        <v>1095000</v>
      </c>
      <c r="AM22" s="8">
        <f t="shared" si="10"/>
        <v>186000</v>
      </c>
      <c r="AN22" s="8">
        <f t="shared" si="10"/>
        <v>1281000</v>
      </c>
      <c r="AO22" s="8">
        <f t="shared" si="10"/>
        <v>1140000</v>
      </c>
      <c r="AP22" s="8">
        <f t="shared" si="10"/>
        <v>142200</v>
      </c>
      <c r="AQ22" s="8">
        <f t="shared" si="10"/>
        <v>1282200</v>
      </c>
      <c r="AR22" s="8">
        <f t="shared" si="10"/>
        <v>1185000</v>
      </c>
      <c r="AS22" s="8">
        <f t="shared" si="10"/>
        <v>96600</v>
      </c>
      <c r="AT22" s="8">
        <f t="shared" si="10"/>
        <v>1281600</v>
      </c>
      <c r="AU22" s="8">
        <f t="shared" si="10"/>
        <v>1230000</v>
      </c>
      <c r="AV22" s="8">
        <f t="shared" si="10"/>
        <v>49200</v>
      </c>
      <c r="AW22" s="8">
        <f t="shared" si="10"/>
        <v>1279200</v>
      </c>
      <c r="AX22" s="8">
        <f t="shared" si="10"/>
        <v>0</v>
      </c>
      <c r="AY22" s="8">
        <f t="shared" si="10"/>
        <v>0</v>
      </c>
      <c r="AZ22" s="8">
        <f t="shared" si="10"/>
        <v>0</v>
      </c>
      <c r="BA22" s="8">
        <f t="shared" si="10"/>
        <v>0</v>
      </c>
      <c r="BB22" s="8">
        <f t="shared" si="10"/>
        <v>0</v>
      </c>
      <c r="BC22" s="8">
        <f t="shared" si="10"/>
        <v>0</v>
      </c>
      <c r="BD22" s="8">
        <f t="shared" si="10"/>
        <v>0</v>
      </c>
      <c r="BE22" s="8">
        <f t="shared" si="10"/>
        <v>0</v>
      </c>
      <c r="BF22" s="8">
        <f t="shared" si="10"/>
        <v>0</v>
      </c>
      <c r="BG22" s="8">
        <f t="shared" si="10"/>
        <v>0</v>
      </c>
      <c r="BH22" s="8">
        <f t="shared" si="10"/>
        <v>0</v>
      </c>
      <c r="BI22" s="8">
        <f t="shared" si="10"/>
        <v>0</v>
      </c>
      <c r="BJ22" s="8">
        <f t="shared" si="10"/>
        <v>0</v>
      </c>
      <c r="BK22" s="8">
        <f t="shared" si="10"/>
        <v>0</v>
      </c>
      <c r="BL22" s="8">
        <f t="shared" si="10"/>
        <v>0</v>
      </c>
      <c r="BM22" s="8">
        <f t="shared" si="10"/>
        <v>0</v>
      </c>
      <c r="BN22" s="8">
        <f t="shared" si="10"/>
        <v>0</v>
      </c>
      <c r="BO22" s="8">
        <f t="shared" si="10"/>
        <v>0</v>
      </c>
      <c r="BP22" s="8">
        <f t="shared" si="10"/>
        <v>0</v>
      </c>
      <c r="BQ22" s="8">
        <f t="shared" ref="BQ22:BX22" si="11">SUM(BQ21)</f>
        <v>0</v>
      </c>
      <c r="BR22" s="8">
        <f t="shared" si="11"/>
        <v>0</v>
      </c>
      <c r="BS22" s="8">
        <f>SUM(BS21)</f>
        <v>0</v>
      </c>
      <c r="BT22" s="8">
        <f>SUM(BT21)</f>
        <v>0</v>
      </c>
      <c r="BU22" s="8">
        <f>SUM(BU21)</f>
        <v>0</v>
      </c>
      <c r="BV22" s="8">
        <f t="shared" si="11"/>
        <v>12795000</v>
      </c>
      <c r="BW22" s="7">
        <f t="shared" si="11"/>
        <v>3862800</v>
      </c>
      <c r="BX22" s="2">
        <f t="shared" si="11"/>
        <v>16657800</v>
      </c>
    </row>
    <row r="23" spans="1:80" ht="12.75" customHeight="1">
      <c r="G23" s="4"/>
      <c r="J23" s="1"/>
      <c r="M23" s="1"/>
      <c r="P23" s="1"/>
      <c r="S23" s="1"/>
      <c r="V23" s="1"/>
      <c r="Y23" s="1"/>
      <c r="AB23" s="1"/>
      <c r="AE23" s="1"/>
      <c r="AH23" s="1"/>
      <c r="AK23" s="1"/>
      <c r="AN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X23" s="1">
        <f>SUM(BV23:BW23)</f>
        <v>0</v>
      </c>
    </row>
    <row r="24" spans="1:80" ht="13.5" customHeight="1">
      <c r="A24" s="5">
        <v>372</v>
      </c>
      <c r="B24" s="5" t="s">
        <v>71</v>
      </c>
      <c r="C24" s="5" t="s">
        <v>57</v>
      </c>
      <c r="D24" s="32" t="s">
        <v>101</v>
      </c>
      <c r="E24" s="29">
        <v>38047</v>
      </c>
      <c r="F24" s="19" t="s">
        <v>32</v>
      </c>
      <c r="G24" s="21">
        <v>45200</v>
      </c>
      <c r="H24" s="5">
        <v>90000</v>
      </c>
      <c r="I24" s="5">
        <f>4393.75+2256.25</f>
        <v>6650</v>
      </c>
      <c r="J24" s="1">
        <f>SUM(H24:I24)</f>
        <v>96650</v>
      </c>
      <c r="K24" s="5">
        <v>95000</v>
      </c>
      <c r="L24" s="5">
        <v>2256.25</v>
      </c>
      <c r="M24" s="1">
        <f>SUM(K24:L24)</f>
        <v>97256.25</v>
      </c>
      <c r="P24" s="1">
        <f>SUM(N24:O24)</f>
        <v>0</v>
      </c>
      <c r="S24" s="1">
        <f>SUM(Q24:R24)</f>
        <v>0</v>
      </c>
      <c r="V24" s="1">
        <f>SUM(T24:U24)</f>
        <v>0</v>
      </c>
      <c r="Y24" s="1">
        <f>SUM(W24:X24)</f>
        <v>0</v>
      </c>
      <c r="AB24" s="1">
        <f>SUM(Z24:AA24)</f>
        <v>0</v>
      </c>
      <c r="AE24" s="1">
        <f>SUM(AC24:AD24)</f>
        <v>0</v>
      </c>
      <c r="AH24" s="1">
        <f>SUM(AF24:AG24)</f>
        <v>0</v>
      </c>
      <c r="AK24" s="1">
        <f>SUM(AI24:AJ24)</f>
        <v>0</v>
      </c>
      <c r="AN24" s="1">
        <f>SUM(AL24:AM24)</f>
        <v>0</v>
      </c>
      <c r="AQ24" s="1">
        <f>SUM(AO24:AP24)</f>
        <v>0</v>
      </c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5">
        <f>+AO24+Z24+T24+Q24+N24+K24+AC24+AF24+AI24+AL24+W24+AR24+AU24+AX24+BA24+BD24+BG24+BJ24+BM24+BP24+BS24</f>
        <v>95000</v>
      </c>
      <c r="BW24" s="5">
        <f>+AP24+AA24+U24+R24+O24+L24+AD24+AG24+AJ24+AM24+X24+AS24+AV24+AY24+BB24++BE24+BH24+BK24++BN24+BQ24+BT24</f>
        <v>2256.25</v>
      </c>
      <c r="BX24" s="1">
        <f>SUM(BV24:BW24)</f>
        <v>97256.25</v>
      </c>
    </row>
    <row r="25" spans="1:80" ht="12.75" customHeight="1">
      <c r="E25" s="29"/>
      <c r="F25" s="19"/>
      <c r="G25" s="21"/>
      <c r="J25" s="4">
        <f>SUM(H25:I25)</f>
        <v>0</v>
      </c>
      <c r="M25" s="4">
        <f>SUM(K25:L25)</f>
        <v>0</v>
      </c>
      <c r="P25" s="4">
        <f>SUM(N25:O25)</f>
        <v>0</v>
      </c>
      <c r="S25" s="4">
        <f>SUM(Q25:R25)</f>
        <v>0</v>
      </c>
      <c r="V25" s="4">
        <f>SUM(T25:U25)</f>
        <v>0</v>
      </c>
      <c r="Y25" s="4">
        <f>SUM(W25:X25)</f>
        <v>0</v>
      </c>
      <c r="AB25" s="4">
        <f>SUM(Z25:AA25)</f>
        <v>0</v>
      </c>
      <c r="AE25" s="4">
        <f>SUM(AC25:AD25)</f>
        <v>0</v>
      </c>
      <c r="AH25" s="4">
        <f>SUM(AF25:AG25)</f>
        <v>0</v>
      </c>
      <c r="AK25" s="4">
        <f>SUM(AI25:AJ25)</f>
        <v>0</v>
      </c>
      <c r="AN25" s="4">
        <f>SUM(AL25:AM25)</f>
        <v>0</v>
      </c>
      <c r="AQ25" s="4">
        <f>SUM(AO25:AP25)</f>
        <v>0</v>
      </c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5">
        <f>+AO25+Z25+T25+Q25+N25+K25+AC25+AF25+AI25+AL25+W25+AR25+AU25+AX25+BA25+BD25+BG25+BJ25+BM25+BP25+BS25</f>
        <v>0</v>
      </c>
      <c r="BW25" s="5">
        <f>+AP25+AA25+U25+R25+O25+L25+AD25+AG25+AJ25+AM25+X25+AS25+AV25+AY25+BB25++BE25+BH25+BK25++BN25+BQ25+BT25</f>
        <v>0</v>
      </c>
      <c r="BX25" s="1">
        <f>SUM(BV25:BW25)</f>
        <v>0</v>
      </c>
    </row>
    <row r="26" spans="1:80" ht="12.75" customHeight="1">
      <c r="A26" s="5">
        <v>372</v>
      </c>
      <c r="B26" s="5" t="s">
        <v>71</v>
      </c>
      <c r="C26" s="5" t="s">
        <v>57</v>
      </c>
      <c r="D26" s="32" t="s">
        <v>101</v>
      </c>
      <c r="E26" s="29">
        <v>42061</v>
      </c>
      <c r="F26" s="19" t="s">
        <v>74</v>
      </c>
      <c r="G26" s="21">
        <v>45413</v>
      </c>
      <c r="H26" s="6">
        <v>880000</v>
      </c>
      <c r="I26" s="6">
        <f>45125*2</f>
        <v>90250</v>
      </c>
      <c r="J26" s="3">
        <f>SUM(H26:I26)</f>
        <v>970250</v>
      </c>
      <c r="K26" s="6">
        <v>925000</v>
      </c>
      <c r="L26" s="6">
        <f>23125*2</f>
        <v>46250</v>
      </c>
      <c r="M26" s="3">
        <f>SUM(K26:L26)</f>
        <v>971250</v>
      </c>
      <c r="N26" s="6"/>
      <c r="O26" s="6"/>
      <c r="P26" s="3">
        <f>SUM(N26:O26)</f>
        <v>0</v>
      </c>
      <c r="Q26" s="6"/>
      <c r="R26" s="6"/>
      <c r="S26" s="3">
        <f>SUM(Q26:R26)</f>
        <v>0</v>
      </c>
      <c r="T26" s="6"/>
      <c r="U26" s="6"/>
      <c r="V26" s="3">
        <f>SUM(T26:U26)</f>
        <v>0</v>
      </c>
      <c r="W26" s="6"/>
      <c r="X26" s="6"/>
      <c r="Y26" s="3">
        <f>SUM(W26:X26)</f>
        <v>0</v>
      </c>
      <c r="Z26" s="6"/>
      <c r="AA26" s="6"/>
      <c r="AB26" s="3">
        <f>SUM(Z26:AA26)</f>
        <v>0</v>
      </c>
      <c r="AC26" s="6"/>
      <c r="AD26" s="6"/>
      <c r="AE26" s="3">
        <f>SUM(AC26:AD26)</f>
        <v>0</v>
      </c>
      <c r="AF26" s="6"/>
      <c r="AG26" s="6"/>
      <c r="AH26" s="3">
        <f>SUM(AF26:AG26)</f>
        <v>0</v>
      </c>
      <c r="AI26" s="6"/>
      <c r="AJ26" s="6"/>
      <c r="AK26" s="3">
        <f>SUM(AI26:AJ26)</f>
        <v>0</v>
      </c>
      <c r="AL26" s="6"/>
      <c r="AM26" s="6"/>
      <c r="AN26" s="3">
        <f>SUM(AL26:AM26)</f>
        <v>0</v>
      </c>
      <c r="AO26" s="6"/>
      <c r="AP26" s="6"/>
      <c r="AQ26" s="3">
        <f>SUM(AO26:AP26)</f>
        <v>0</v>
      </c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6">
        <f>+AO26+Z26+T26+Q26+N26+K26+AC26+AF26+AI26+AL26+W26+AR26+AU26+AX26+BA26+BD26+BG26+BJ26+BM26+BP26+BS26</f>
        <v>925000</v>
      </c>
      <c r="BW26" s="6">
        <f>+AP26+AA26+U26+R26+O26+L26+AD26+AG26+AJ26+AM26+X26+AS26+AV26+AY26+BB26++BE26+BH26+BK26++BN26+BQ26+BT26</f>
        <v>46250</v>
      </c>
      <c r="BX26" s="3">
        <f>SUM(BV26:BW26)</f>
        <v>971250</v>
      </c>
    </row>
    <row r="27" spans="1:80" s="7" customFormat="1">
      <c r="D27" s="39"/>
      <c r="F27" s="8" t="s">
        <v>41</v>
      </c>
      <c r="G27" s="8"/>
      <c r="H27" s="8">
        <f t="shared" ref="H27:BR27" si="12">SUM(H24:H26)</f>
        <v>970000</v>
      </c>
      <c r="I27" s="8">
        <f t="shared" si="12"/>
        <v>96900</v>
      </c>
      <c r="J27" s="8">
        <f t="shared" si="12"/>
        <v>1066900</v>
      </c>
      <c r="K27" s="8">
        <f t="shared" si="12"/>
        <v>1020000</v>
      </c>
      <c r="L27" s="8">
        <f t="shared" si="12"/>
        <v>48506.25</v>
      </c>
      <c r="M27" s="8">
        <f t="shared" si="12"/>
        <v>1068506.25</v>
      </c>
      <c r="N27" s="8">
        <f t="shared" si="12"/>
        <v>0</v>
      </c>
      <c r="O27" s="8">
        <f t="shared" si="12"/>
        <v>0</v>
      </c>
      <c r="P27" s="8">
        <f t="shared" si="12"/>
        <v>0</v>
      </c>
      <c r="Q27" s="8">
        <f t="shared" si="12"/>
        <v>0</v>
      </c>
      <c r="R27" s="8">
        <f t="shared" si="12"/>
        <v>0</v>
      </c>
      <c r="S27" s="8">
        <f t="shared" si="12"/>
        <v>0</v>
      </c>
      <c r="T27" s="8">
        <f t="shared" si="12"/>
        <v>0</v>
      </c>
      <c r="U27" s="8">
        <f t="shared" si="12"/>
        <v>0</v>
      </c>
      <c r="V27" s="8">
        <f t="shared" si="12"/>
        <v>0</v>
      </c>
      <c r="W27" s="8">
        <f t="shared" si="12"/>
        <v>0</v>
      </c>
      <c r="X27" s="8">
        <f t="shared" si="12"/>
        <v>0</v>
      </c>
      <c r="Y27" s="8">
        <f t="shared" si="12"/>
        <v>0</v>
      </c>
      <c r="Z27" s="8">
        <f t="shared" si="12"/>
        <v>0</v>
      </c>
      <c r="AA27" s="8">
        <f t="shared" si="12"/>
        <v>0</v>
      </c>
      <c r="AB27" s="8">
        <f t="shared" si="12"/>
        <v>0</v>
      </c>
      <c r="AC27" s="8">
        <f t="shared" si="12"/>
        <v>0</v>
      </c>
      <c r="AD27" s="8">
        <f t="shared" si="12"/>
        <v>0</v>
      </c>
      <c r="AE27" s="8">
        <f t="shared" si="12"/>
        <v>0</v>
      </c>
      <c r="AF27" s="8">
        <f t="shared" si="12"/>
        <v>0</v>
      </c>
      <c r="AG27" s="8">
        <f t="shared" si="12"/>
        <v>0</v>
      </c>
      <c r="AH27" s="8">
        <f t="shared" si="12"/>
        <v>0</v>
      </c>
      <c r="AI27" s="8">
        <f t="shared" si="12"/>
        <v>0</v>
      </c>
      <c r="AJ27" s="8">
        <f t="shared" si="12"/>
        <v>0</v>
      </c>
      <c r="AK27" s="8">
        <f t="shared" si="12"/>
        <v>0</v>
      </c>
      <c r="AL27" s="8">
        <f t="shared" si="12"/>
        <v>0</v>
      </c>
      <c r="AM27" s="8">
        <f t="shared" si="12"/>
        <v>0</v>
      </c>
      <c r="AN27" s="8">
        <f t="shared" si="12"/>
        <v>0</v>
      </c>
      <c r="AO27" s="8">
        <f t="shared" si="12"/>
        <v>0</v>
      </c>
      <c r="AP27" s="8">
        <f t="shared" si="12"/>
        <v>0</v>
      </c>
      <c r="AQ27" s="8">
        <f t="shared" si="12"/>
        <v>0</v>
      </c>
      <c r="AR27" s="8">
        <f t="shared" si="12"/>
        <v>0</v>
      </c>
      <c r="AS27" s="8">
        <f t="shared" si="12"/>
        <v>0</v>
      </c>
      <c r="AT27" s="8">
        <f t="shared" si="12"/>
        <v>0</v>
      </c>
      <c r="AU27" s="8">
        <f t="shared" si="12"/>
        <v>0</v>
      </c>
      <c r="AV27" s="8">
        <f t="shared" si="12"/>
        <v>0</v>
      </c>
      <c r="AW27" s="8">
        <f t="shared" si="12"/>
        <v>0</v>
      </c>
      <c r="AX27" s="8">
        <f t="shared" si="12"/>
        <v>0</v>
      </c>
      <c r="AY27" s="8">
        <f t="shared" si="12"/>
        <v>0</v>
      </c>
      <c r="AZ27" s="8">
        <f t="shared" si="12"/>
        <v>0</v>
      </c>
      <c r="BA27" s="8">
        <f t="shared" si="12"/>
        <v>0</v>
      </c>
      <c r="BB27" s="8">
        <f t="shared" si="12"/>
        <v>0</v>
      </c>
      <c r="BC27" s="8">
        <f t="shared" si="12"/>
        <v>0</v>
      </c>
      <c r="BD27" s="8">
        <f t="shared" si="12"/>
        <v>0</v>
      </c>
      <c r="BE27" s="8">
        <f t="shared" si="12"/>
        <v>0</v>
      </c>
      <c r="BF27" s="8">
        <f t="shared" si="12"/>
        <v>0</v>
      </c>
      <c r="BG27" s="8">
        <f t="shared" si="12"/>
        <v>0</v>
      </c>
      <c r="BH27" s="8">
        <f t="shared" si="12"/>
        <v>0</v>
      </c>
      <c r="BI27" s="8">
        <f t="shared" si="12"/>
        <v>0</v>
      </c>
      <c r="BJ27" s="8">
        <f t="shared" si="12"/>
        <v>0</v>
      </c>
      <c r="BK27" s="8">
        <f t="shared" si="12"/>
        <v>0</v>
      </c>
      <c r="BL27" s="8">
        <f t="shared" si="12"/>
        <v>0</v>
      </c>
      <c r="BM27" s="8">
        <f t="shared" si="12"/>
        <v>0</v>
      </c>
      <c r="BN27" s="8">
        <f t="shared" si="12"/>
        <v>0</v>
      </c>
      <c r="BO27" s="8">
        <f t="shared" si="12"/>
        <v>0</v>
      </c>
      <c r="BP27" s="8">
        <f t="shared" si="12"/>
        <v>0</v>
      </c>
      <c r="BQ27" s="8">
        <f t="shared" si="12"/>
        <v>0</v>
      </c>
      <c r="BR27" s="8">
        <f t="shared" si="12"/>
        <v>0</v>
      </c>
      <c r="BS27" s="8">
        <f t="shared" ref="BS27:BX27" si="13">SUM(BS24:BS26)</f>
        <v>0</v>
      </c>
      <c r="BT27" s="8">
        <f t="shared" si="13"/>
        <v>0</v>
      </c>
      <c r="BU27" s="8">
        <f t="shared" si="13"/>
        <v>0</v>
      </c>
      <c r="BV27" s="8">
        <f t="shared" si="13"/>
        <v>1020000</v>
      </c>
      <c r="BW27" s="8">
        <f t="shared" si="13"/>
        <v>48506.25</v>
      </c>
      <c r="BX27" s="8">
        <f t="shared" si="13"/>
        <v>1068506.25</v>
      </c>
      <c r="BY27" s="8"/>
      <c r="BZ27" s="8"/>
      <c r="CA27" s="8"/>
      <c r="CB27" s="8"/>
    </row>
    <row r="28" spans="1:80" s="7" customFormat="1">
      <c r="D28" s="39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</row>
    <row r="29" spans="1:80">
      <c r="A29" s="5">
        <v>469</v>
      </c>
      <c r="B29" s="5" t="s">
        <v>71</v>
      </c>
      <c r="C29" s="5" t="s">
        <v>57</v>
      </c>
      <c r="D29" s="32" t="s">
        <v>101</v>
      </c>
      <c r="E29" s="29">
        <v>43754</v>
      </c>
      <c r="F29" s="4" t="s">
        <v>99</v>
      </c>
      <c r="G29" s="21">
        <v>47362</v>
      </c>
      <c r="H29" s="3">
        <v>475000</v>
      </c>
      <c r="I29" s="3">
        <f>36068.5+31817.25</f>
        <v>67885.75</v>
      </c>
      <c r="J29" s="3">
        <f>SUM(H29:I29)</f>
        <v>542885.75</v>
      </c>
      <c r="K29" s="3">
        <v>480000</v>
      </c>
      <c r="L29" s="3">
        <f>31817.25+27521.25</f>
        <v>59338.5</v>
      </c>
      <c r="M29" s="3">
        <f>SUM(K29:L29)</f>
        <v>539338.5</v>
      </c>
      <c r="N29" s="3">
        <v>490000</v>
      </c>
      <c r="O29" s="3">
        <f>27521.25+23135.75</f>
        <v>50657</v>
      </c>
      <c r="P29" s="3">
        <f>SUM(N29:O29)</f>
        <v>540657</v>
      </c>
      <c r="Q29" s="3">
        <v>500000</v>
      </c>
      <c r="R29" s="3">
        <f>23135.75+18660.75</f>
        <v>41796.5</v>
      </c>
      <c r="S29" s="3">
        <f>SUM(Q29:R29)</f>
        <v>541796.5</v>
      </c>
      <c r="T29" s="3">
        <v>510000</v>
      </c>
      <c r="U29" s="3">
        <f>18660.75+14096.25</f>
        <v>32757</v>
      </c>
      <c r="V29" s="3">
        <f>SUM(T29:U29)</f>
        <v>542757</v>
      </c>
      <c r="W29" s="3">
        <v>515000</v>
      </c>
      <c r="X29" s="3">
        <f>14096.25+9487</f>
        <v>23583.25</v>
      </c>
      <c r="Y29" s="3">
        <f>SUM(W29:X29)</f>
        <v>538583.25</v>
      </c>
      <c r="Z29" s="3">
        <v>525000</v>
      </c>
      <c r="AA29" s="3">
        <f>9487+4788.25</f>
        <v>14275.25</v>
      </c>
      <c r="AB29" s="3">
        <f>SUM(Z29:AA29)</f>
        <v>539275.25</v>
      </c>
      <c r="AC29" s="3">
        <v>535000</v>
      </c>
      <c r="AD29" s="3">
        <f>4788.25</f>
        <v>4788.25</v>
      </c>
      <c r="AE29" s="3">
        <f>SUM(AC29:AD29)</f>
        <v>539788.25</v>
      </c>
      <c r="AF29" s="3">
        <v>0</v>
      </c>
      <c r="AG29" s="3">
        <v>0</v>
      </c>
      <c r="AH29" s="3">
        <f>SUM(AF29:AG29)</f>
        <v>0</v>
      </c>
      <c r="AI29" s="3">
        <v>0</v>
      </c>
      <c r="AJ29" s="3">
        <v>0</v>
      </c>
      <c r="AK29" s="3">
        <f>SUM(AI29:AJ29)</f>
        <v>0</v>
      </c>
      <c r="AL29" s="3">
        <v>0</v>
      </c>
      <c r="AM29" s="3">
        <v>0</v>
      </c>
      <c r="AN29" s="3">
        <f>SUM(AL29:AM29)</f>
        <v>0</v>
      </c>
      <c r="AO29" s="3">
        <v>0</v>
      </c>
      <c r="AP29" s="3">
        <v>0</v>
      </c>
      <c r="AQ29" s="3">
        <f>SUM(AO29:AP29)</f>
        <v>0</v>
      </c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6">
        <f>+AO29+Z29+T29+Q29+N29+K29+AC29+AF29+AI29+AL29+W29+AR29+AU29+AX29+BA29+BD29+BG29+BJ29+BM29+BP29+BS29</f>
        <v>3555000</v>
      </c>
      <c r="BW29" s="6">
        <f>+AP29+AA29+U29+R29+O29+L29+AD29+AG29+AJ29+AM29+X29+AS29+AV29+AY29+BB29++BE29+BH29+BK29++BN29+BQ29+BT29</f>
        <v>227195.75</v>
      </c>
      <c r="BX29" s="3">
        <f>SUM(BV29:BW29)</f>
        <v>3782195.75</v>
      </c>
      <c r="BY29" s="4"/>
      <c r="BZ29" s="4"/>
      <c r="CA29" s="4"/>
      <c r="CB29" s="4"/>
    </row>
    <row r="30" spans="1:80" s="7" customFormat="1" ht="12.75" customHeight="1">
      <c r="D30" s="39"/>
      <c r="F30" s="7" t="s">
        <v>100</v>
      </c>
      <c r="G30" s="8"/>
      <c r="H30" s="8">
        <f>SUM(H29)</f>
        <v>475000</v>
      </c>
      <c r="I30" s="8">
        <f>SUM(I29)</f>
        <v>67885.75</v>
      </c>
      <c r="J30" s="8">
        <f>SUM(H30:I30)</f>
        <v>542885.75</v>
      </c>
      <c r="K30" s="8">
        <f>SUM(K29)</f>
        <v>480000</v>
      </c>
      <c r="L30" s="8">
        <f>SUM(L29)</f>
        <v>59338.5</v>
      </c>
      <c r="M30" s="8">
        <f>SUM(K30:L30)</f>
        <v>539338.5</v>
      </c>
      <c r="N30" s="8">
        <f>SUM(N29)</f>
        <v>490000</v>
      </c>
      <c r="O30" s="8">
        <f>SUM(O29)</f>
        <v>50657</v>
      </c>
      <c r="P30" s="8">
        <f>SUM(N30:O30)</f>
        <v>540657</v>
      </c>
      <c r="Q30" s="8">
        <f>SUM(Q29)</f>
        <v>500000</v>
      </c>
      <c r="R30" s="8">
        <f>SUM(R29)</f>
        <v>41796.5</v>
      </c>
      <c r="S30" s="8">
        <f>SUM(Q30:R30)</f>
        <v>541796.5</v>
      </c>
      <c r="T30" s="8">
        <f>SUM(T29)</f>
        <v>510000</v>
      </c>
      <c r="U30" s="8">
        <f>SUM(U29)</f>
        <v>32757</v>
      </c>
      <c r="V30" s="8">
        <f>SUM(T30:U30)</f>
        <v>542757</v>
      </c>
      <c r="W30" s="8">
        <f>SUM(W29)</f>
        <v>515000</v>
      </c>
      <c r="X30" s="8">
        <f>SUM(X29)</f>
        <v>23583.25</v>
      </c>
      <c r="Y30" s="8">
        <f>SUM(W30:X30)</f>
        <v>538583.25</v>
      </c>
      <c r="Z30" s="8">
        <f>SUM(Z29)</f>
        <v>525000</v>
      </c>
      <c r="AA30" s="8">
        <f>SUM(AA29)</f>
        <v>14275.25</v>
      </c>
      <c r="AB30" s="8">
        <f>SUM(Z30:AA30)</f>
        <v>539275.25</v>
      </c>
      <c r="AC30" s="8">
        <f>SUM(AC29)</f>
        <v>535000</v>
      </c>
      <c r="AD30" s="8">
        <f>SUM(AD29)</f>
        <v>4788.25</v>
      </c>
      <c r="AE30" s="8">
        <f>SUM(AC30:AD30)</f>
        <v>539788.25</v>
      </c>
      <c r="AF30" s="8">
        <f>SUM(AF29)</f>
        <v>0</v>
      </c>
      <c r="AG30" s="8">
        <f>SUM(AG29)</f>
        <v>0</v>
      </c>
      <c r="AH30" s="8">
        <f>SUM(AF30:AG30)</f>
        <v>0</v>
      </c>
      <c r="AI30" s="8">
        <f>SUM(AI29)</f>
        <v>0</v>
      </c>
      <c r="AJ30" s="8">
        <f>SUM(AJ29)</f>
        <v>0</v>
      </c>
      <c r="AK30" s="8">
        <f>SUM(AI30:AJ30)</f>
        <v>0</v>
      </c>
      <c r="AL30" s="8">
        <f>SUM(AL29)</f>
        <v>0</v>
      </c>
      <c r="AM30" s="8">
        <f>SUM(AM29)</f>
        <v>0</v>
      </c>
      <c r="AN30" s="8">
        <f>SUM(AL30:AM30)</f>
        <v>0</v>
      </c>
      <c r="AO30" s="8">
        <f>SUM(AO29)</f>
        <v>0</v>
      </c>
      <c r="AP30" s="8">
        <f>SUM(AP29)</f>
        <v>0</v>
      </c>
      <c r="AQ30" s="8">
        <f>SUM(AO30:AP30)</f>
        <v>0</v>
      </c>
      <c r="AR30" s="8">
        <f>SUM(AR29)</f>
        <v>0</v>
      </c>
      <c r="AS30" s="8">
        <f>SUM(AS29)</f>
        <v>0</v>
      </c>
      <c r="AT30" s="8">
        <f>SUM(AR30:AS30)</f>
        <v>0</v>
      </c>
      <c r="AU30" s="8">
        <f>SUM(AU29)</f>
        <v>0</v>
      </c>
      <c r="AV30" s="8">
        <f>SUM(AV29)</f>
        <v>0</v>
      </c>
      <c r="AW30" s="8">
        <f>SUM(AU30:AV30)</f>
        <v>0</v>
      </c>
      <c r="AX30" s="8">
        <f>SUM(AX29)</f>
        <v>0</v>
      </c>
      <c r="AY30" s="8">
        <f>SUM(AY29)</f>
        <v>0</v>
      </c>
      <c r="AZ30" s="8">
        <f>SUM(AX30:AY30)</f>
        <v>0</v>
      </c>
      <c r="BA30" s="8">
        <f>SUM(BA29)</f>
        <v>0</v>
      </c>
      <c r="BB30" s="8">
        <f>SUM(BB29)</f>
        <v>0</v>
      </c>
      <c r="BC30" s="8">
        <f>SUM(BA30:BB30)</f>
        <v>0</v>
      </c>
      <c r="BD30" s="8">
        <f>SUM(BD29)</f>
        <v>0</v>
      </c>
      <c r="BE30" s="8">
        <f>SUM(BE29)</f>
        <v>0</v>
      </c>
      <c r="BF30" s="8">
        <f>SUM(BD30:BE30)</f>
        <v>0</v>
      </c>
      <c r="BG30" s="8">
        <f>SUM(BG29)</f>
        <v>0</v>
      </c>
      <c r="BH30" s="8">
        <f>SUM(BH29)</f>
        <v>0</v>
      </c>
      <c r="BI30" s="8">
        <f>SUM(BG30:BH30)</f>
        <v>0</v>
      </c>
      <c r="BJ30" s="8">
        <f>SUM(BJ29)</f>
        <v>0</v>
      </c>
      <c r="BK30" s="8">
        <f>SUM(BK29)</f>
        <v>0</v>
      </c>
      <c r="BL30" s="8">
        <f>SUM(BJ30:BK30)</f>
        <v>0</v>
      </c>
      <c r="BM30" s="8">
        <f>SUM(BM29)</f>
        <v>0</v>
      </c>
      <c r="BN30" s="8">
        <f>SUM(BN29)</f>
        <v>0</v>
      </c>
      <c r="BO30" s="8">
        <f>SUM(BM30:BN30)</f>
        <v>0</v>
      </c>
      <c r="BP30" s="8">
        <f>SUM(BP29)</f>
        <v>0</v>
      </c>
      <c r="BQ30" s="8">
        <f>SUM(BQ29)</f>
        <v>0</v>
      </c>
      <c r="BR30" s="8">
        <f>SUM(BP30:BQ30)</f>
        <v>0</v>
      </c>
      <c r="BS30" s="8">
        <f>SUM(BS29)</f>
        <v>0</v>
      </c>
      <c r="BT30" s="8">
        <f>SUM(BT29)</f>
        <v>0</v>
      </c>
      <c r="BU30" s="8">
        <f>SUM(BS30:BT30)</f>
        <v>0</v>
      </c>
      <c r="BV30" s="8">
        <f>SUM(BV29)</f>
        <v>3555000</v>
      </c>
      <c r="BW30" s="8">
        <f>SUM(BW29)</f>
        <v>227195.75</v>
      </c>
      <c r="BX30" s="8">
        <f>SUM(BV30:BW30)</f>
        <v>3782195.75</v>
      </c>
    </row>
    <row r="31" spans="1:80">
      <c r="F31" s="1"/>
      <c r="G31" s="1"/>
      <c r="H31" s="1"/>
      <c r="I31" s="1"/>
      <c r="J31" s="1" t="s">
        <v>2</v>
      </c>
      <c r="K31" s="1"/>
      <c r="L31" s="1"/>
      <c r="M31" s="1"/>
      <c r="N31" s="1"/>
      <c r="O31" s="1"/>
      <c r="P31" s="1" t="s">
        <v>2</v>
      </c>
      <c r="Q31" s="1"/>
      <c r="R31" s="1"/>
      <c r="S31" s="1" t="s">
        <v>2</v>
      </c>
      <c r="T31" s="1"/>
      <c r="U31" s="1"/>
      <c r="V31" s="1" t="s">
        <v>2</v>
      </c>
      <c r="W31" s="1"/>
      <c r="X31" s="1"/>
      <c r="Y31" s="1" t="s">
        <v>2</v>
      </c>
      <c r="Z31" s="1"/>
      <c r="AA31" s="1"/>
      <c r="AB31" s="1" t="s">
        <v>2</v>
      </c>
      <c r="AC31" s="1"/>
      <c r="AD31" s="1"/>
      <c r="AE31" s="1" t="s">
        <v>2</v>
      </c>
      <c r="AF31" s="1"/>
      <c r="AG31" s="1"/>
      <c r="AH31" s="1" t="s">
        <v>2</v>
      </c>
      <c r="AI31" s="1"/>
      <c r="AJ31" s="1"/>
      <c r="AK31" s="1" t="s">
        <v>2</v>
      </c>
      <c r="AL31" s="1"/>
      <c r="AM31" s="1"/>
      <c r="AN31" s="1" t="s">
        <v>2</v>
      </c>
      <c r="AO31" s="1"/>
      <c r="AP31" s="1"/>
      <c r="AQ31" s="1" t="s">
        <v>2</v>
      </c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W31" s="1"/>
      <c r="BX31" s="1">
        <f>SUM(BV31:BW31)</f>
        <v>0</v>
      </c>
      <c r="BY31" s="1"/>
      <c r="BZ31" s="1"/>
      <c r="CA31" s="1"/>
      <c r="CB31" s="1"/>
    </row>
    <row r="32" spans="1:80" s="7" customFormat="1">
      <c r="D32" s="39"/>
      <c r="F32" s="43" t="s">
        <v>125</v>
      </c>
      <c r="G32" s="42"/>
      <c r="H32" s="42">
        <f t="shared" ref="H32:AM32" si="14">H22+H27+H19+H30</f>
        <v>2561454.0099999998</v>
      </c>
      <c r="I32" s="42">
        <f t="shared" si="14"/>
        <v>731952.65</v>
      </c>
      <c r="J32" s="42">
        <f t="shared" si="14"/>
        <v>3293406.66</v>
      </c>
      <c r="K32" s="42">
        <f t="shared" si="14"/>
        <v>2487159.87</v>
      </c>
      <c r="L32" s="42">
        <f t="shared" si="14"/>
        <v>630907.48</v>
      </c>
      <c r="M32" s="42">
        <f t="shared" si="14"/>
        <v>3118067.35</v>
      </c>
      <c r="N32" s="42">
        <f t="shared" si="14"/>
        <v>1382498.6400000001</v>
      </c>
      <c r="O32" s="42">
        <f t="shared" si="14"/>
        <v>538368.25</v>
      </c>
      <c r="P32" s="42">
        <f t="shared" si="14"/>
        <v>1920866.89</v>
      </c>
      <c r="Q32" s="42">
        <f t="shared" si="14"/>
        <v>1423113.8900000001</v>
      </c>
      <c r="R32" s="42">
        <f t="shared" si="14"/>
        <v>495321.51</v>
      </c>
      <c r="S32" s="42">
        <f t="shared" si="14"/>
        <v>1918435.4</v>
      </c>
      <c r="T32" s="42">
        <f t="shared" si="14"/>
        <v>1470349.55</v>
      </c>
      <c r="U32" s="42">
        <f t="shared" si="14"/>
        <v>450846.34</v>
      </c>
      <c r="V32" s="42">
        <f t="shared" si="14"/>
        <v>1921195.89</v>
      </c>
      <c r="W32" s="42">
        <f t="shared" si="14"/>
        <v>1415000</v>
      </c>
      <c r="X32" s="42">
        <f t="shared" si="14"/>
        <v>404783.25</v>
      </c>
      <c r="Y32" s="42">
        <f t="shared" si="14"/>
        <v>1819783.25</v>
      </c>
      <c r="Z32" s="42">
        <f t="shared" si="14"/>
        <v>1460000</v>
      </c>
      <c r="AA32" s="42">
        <f t="shared" si="14"/>
        <v>359475.25</v>
      </c>
      <c r="AB32" s="42">
        <f t="shared" si="14"/>
        <v>1819475.25</v>
      </c>
      <c r="AC32" s="42">
        <f t="shared" si="14"/>
        <v>1510000</v>
      </c>
      <c r="AD32" s="42">
        <f t="shared" si="14"/>
        <v>312588.25</v>
      </c>
      <c r="AE32" s="42">
        <f t="shared" si="14"/>
        <v>1822588.25</v>
      </c>
      <c r="AF32" s="42">
        <f t="shared" si="14"/>
        <v>1015000</v>
      </c>
      <c r="AG32" s="42">
        <f t="shared" si="14"/>
        <v>268800</v>
      </c>
      <c r="AH32" s="42">
        <f t="shared" si="14"/>
        <v>1283800</v>
      </c>
      <c r="AI32" s="42">
        <f t="shared" si="14"/>
        <v>1055000</v>
      </c>
      <c r="AJ32" s="42">
        <f t="shared" si="14"/>
        <v>228200</v>
      </c>
      <c r="AK32" s="42">
        <f t="shared" si="14"/>
        <v>1283200</v>
      </c>
      <c r="AL32" s="42">
        <f t="shared" si="14"/>
        <v>1095000</v>
      </c>
      <c r="AM32" s="42">
        <f t="shared" si="14"/>
        <v>186000</v>
      </c>
      <c r="AN32" s="42">
        <f t="shared" ref="AN32:BX32" si="15">AN22+AN27+AN19+AN30</f>
        <v>1281000</v>
      </c>
      <c r="AO32" s="42">
        <f t="shared" si="15"/>
        <v>1140000</v>
      </c>
      <c r="AP32" s="42">
        <f t="shared" si="15"/>
        <v>142200</v>
      </c>
      <c r="AQ32" s="42">
        <f t="shared" si="15"/>
        <v>1282200</v>
      </c>
      <c r="AR32" s="42">
        <f t="shared" si="15"/>
        <v>1185000</v>
      </c>
      <c r="AS32" s="42">
        <f t="shared" si="15"/>
        <v>96600</v>
      </c>
      <c r="AT32" s="42">
        <f t="shared" si="15"/>
        <v>1281600</v>
      </c>
      <c r="AU32" s="42">
        <f t="shared" si="15"/>
        <v>1230000</v>
      </c>
      <c r="AV32" s="42">
        <f t="shared" si="15"/>
        <v>49200</v>
      </c>
      <c r="AW32" s="42">
        <f t="shared" si="15"/>
        <v>1279200</v>
      </c>
      <c r="AX32" s="42">
        <f t="shared" si="15"/>
        <v>0</v>
      </c>
      <c r="AY32" s="42">
        <f t="shared" si="15"/>
        <v>0</v>
      </c>
      <c r="AZ32" s="42">
        <f t="shared" si="15"/>
        <v>0</v>
      </c>
      <c r="BA32" s="42">
        <f t="shared" si="15"/>
        <v>0</v>
      </c>
      <c r="BB32" s="42">
        <f t="shared" si="15"/>
        <v>0</v>
      </c>
      <c r="BC32" s="42">
        <f t="shared" si="15"/>
        <v>0</v>
      </c>
      <c r="BD32" s="42">
        <f t="shared" si="15"/>
        <v>0</v>
      </c>
      <c r="BE32" s="42">
        <f t="shared" si="15"/>
        <v>0</v>
      </c>
      <c r="BF32" s="42">
        <f t="shared" si="15"/>
        <v>0</v>
      </c>
      <c r="BG32" s="42">
        <f t="shared" si="15"/>
        <v>0</v>
      </c>
      <c r="BH32" s="42">
        <f t="shared" si="15"/>
        <v>0</v>
      </c>
      <c r="BI32" s="42">
        <f t="shared" si="15"/>
        <v>0</v>
      </c>
      <c r="BJ32" s="42">
        <f t="shared" si="15"/>
        <v>0</v>
      </c>
      <c r="BK32" s="42">
        <f t="shared" si="15"/>
        <v>0</v>
      </c>
      <c r="BL32" s="42">
        <f t="shared" si="15"/>
        <v>0</v>
      </c>
      <c r="BM32" s="42">
        <f t="shared" si="15"/>
        <v>0</v>
      </c>
      <c r="BN32" s="42">
        <f t="shared" si="15"/>
        <v>0</v>
      </c>
      <c r="BO32" s="42">
        <f t="shared" si="15"/>
        <v>0</v>
      </c>
      <c r="BP32" s="42">
        <f t="shared" si="15"/>
        <v>0</v>
      </c>
      <c r="BQ32" s="42">
        <f t="shared" si="15"/>
        <v>0</v>
      </c>
      <c r="BR32" s="42">
        <f t="shared" si="15"/>
        <v>0</v>
      </c>
      <c r="BS32" s="42">
        <f t="shared" si="15"/>
        <v>0</v>
      </c>
      <c r="BT32" s="42">
        <f t="shared" si="15"/>
        <v>0</v>
      </c>
      <c r="BU32" s="42">
        <f t="shared" si="15"/>
        <v>0</v>
      </c>
      <c r="BV32" s="42">
        <f t="shared" si="15"/>
        <v>17868121.949999999</v>
      </c>
      <c r="BW32" s="42">
        <f t="shared" si="15"/>
        <v>4163290.33</v>
      </c>
      <c r="BX32" s="42">
        <f t="shared" si="15"/>
        <v>22031412.280000001</v>
      </c>
    </row>
    <row r="33" spans="1:79">
      <c r="F33" s="1"/>
      <c r="G33" s="1"/>
    </row>
    <row r="34" spans="1:79">
      <c r="F34" s="1"/>
      <c r="G34" s="1"/>
      <c r="BX34" s="5" t="s">
        <v>2</v>
      </c>
    </row>
    <row r="35" spans="1:79">
      <c r="F35" s="1"/>
      <c r="G35" s="1"/>
    </row>
    <row r="36" spans="1:79" ht="16.8">
      <c r="F36" s="24" t="s">
        <v>65</v>
      </c>
      <c r="G36" s="1"/>
    </row>
    <row r="37" spans="1:79" ht="16.8">
      <c r="F37" s="24"/>
      <c r="G37" s="1"/>
    </row>
    <row r="38" spans="1:79">
      <c r="A38" s="5">
        <v>584</v>
      </c>
      <c r="B38" s="5" t="s">
        <v>53</v>
      </c>
      <c r="C38" s="5" t="s">
        <v>59</v>
      </c>
      <c r="D38" s="32" t="s">
        <v>104</v>
      </c>
      <c r="E38" s="29">
        <v>43525</v>
      </c>
      <c r="F38" s="4" t="s">
        <v>83</v>
      </c>
      <c r="G38" s="21">
        <v>44896</v>
      </c>
      <c r="H38" s="5">
        <v>28924.11</v>
      </c>
      <c r="I38" s="5">
        <v>472.39</v>
      </c>
      <c r="J38" s="5">
        <f>SUM(H38:I38)</f>
        <v>29396.5</v>
      </c>
      <c r="M38" s="5">
        <f>SUM(K38:L38)</f>
        <v>0</v>
      </c>
      <c r="P38" s="5">
        <f>SUM(N38:O38)</f>
        <v>0</v>
      </c>
      <c r="S38" s="5">
        <f>SUM(Q38:R38)</f>
        <v>0</v>
      </c>
      <c r="V38" s="5">
        <f>SUM(T38:U38)</f>
        <v>0</v>
      </c>
      <c r="Y38" s="5">
        <f>SUM(W38:X38)</f>
        <v>0</v>
      </c>
      <c r="AB38" s="5">
        <f>SUM(Z38:AA38)</f>
        <v>0</v>
      </c>
      <c r="AE38" s="5">
        <f>SUM(AC38:AD38)</f>
        <v>0</v>
      </c>
      <c r="AH38" s="5">
        <f>SUM(AF38:AG38)</f>
        <v>0</v>
      </c>
      <c r="AK38" s="5">
        <f>SUM(AI38:AJ38)</f>
        <v>0</v>
      </c>
      <c r="AN38" s="5">
        <f>SUM(AL38:AM38)</f>
        <v>0</v>
      </c>
      <c r="AQ38" s="5">
        <f>SUM(AO38:AP38)</f>
        <v>0</v>
      </c>
      <c r="BV38" s="5">
        <f>+AO38+Z38+T38+Q38+N38+K38+AC38+AF38+AI38+AL38+W38+AR38+AU38+AX38+BA38+BD38+BG38+BJ38+BM38+BP38+BS38</f>
        <v>0</v>
      </c>
      <c r="BW38" s="5">
        <f>+AP38+AA38+U38+R38+O38+L38+AD38+AG38+AJ38+AM38+X38+AS38+AV38+AY38+BB38++BE38+BH38+BK38++BN38+BQ38+BT38</f>
        <v>0</v>
      </c>
      <c r="BX38" s="4">
        <f>SUM(BV38:BW38)</f>
        <v>0</v>
      </c>
    </row>
    <row r="39" spans="1:79">
      <c r="A39" s="5">
        <v>584</v>
      </c>
      <c r="B39" s="5" t="s">
        <v>53</v>
      </c>
      <c r="C39" s="5" t="s">
        <v>59</v>
      </c>
      <c r="D39" s="32" t="s">
        <v>104</v>
      </c>
      <c r="E39" s="29">
        <v>43525</v>
      </c>
      <c r="F39" s="4" t="s">
        <v>84</v>
      </c>
      <c r="G39" s="21">
        <v>44896</v>
      </c>
      <c r="H39" s="5">
        <v>30709</v>
      </c>
      <c r="I39" s="5">
        <v>501.55</v>
      </c>
      <c r="J39" s="5">
        <f>SUM(H39:I39)</f>
        <v>31210.55</v>
      </c>
      <c r="M39" s="5">
        <f>SUM(K39:L39)</f>
        <v>0</v>
      </c>
      <c r="P39" s="5">
        <f>SUM(N39:O39)</f>
        <v>0</v>
      </c>
      <c r="S39" s="5">
        <f>SUM(Q39:R39)</f>
        <v>0</v>
      </c>
      <c r="V39" s="5">
        <f>SUM(T39:U39)</f>
        <v>0</v>
      </c>
      <c r="Y39" s="5">
        <f>SUM(W39:X39)</f>
        <v>0</v>
      </c>
      <c r="AB39" s="5">
        <f>SUM(Z39:AA39)</f>
        <v>0</v>
      </c>
      <c r="AE39" s="5">
        <f>SUM(AC39:AD39)</f>
        <v>0</v>
      </c>
      <c r="AH39" s="5">
        <f>SUM(AF39:AG39)</f>
        <v>0</v>
      </c>
      <c r="AK39" s="5">
        <f>SUM(AI39:AJ39)</f>
        <v>0</v>
      </c>
      <c r="AN39" s="5">
        <f>SUM(AL39:AM39)</f>
        <v>0</v>
      </c>
      <c r="AQ39" s="5">
        <f>SUM(AO39:AP39)</f>
        <v>0</v>
      </c>
      <c r="BV39" s="5">
        <f>+AO39+Z39+T39+Q39+N39+K39+AC39+AF39+AI39+AL39+W39+AR39+AU39+AX39+BA39+BD39+BG39+BJ39+BM39+BP39+BS39</f>
        <v>0</v>
      </c>
      <c r="BW39" s="5">
        <f>+AP39+AA39+U39+R39+O39+L39+AD39+AG39+AJ39+AM39+X39+AS39+AV39+AY39+BB39++BE39+BH39+BK39++BN39+BQ39+BT39</f>
        <v>0</v>
      </c>
      <c r="BX39" s="4">
        <f>SUM(BV39:BW39)</f>
        <v>0</v>
      </c>
    </row>
    <row r="40" spans="1:79">
      <c r="E40" s="29"/>
      <c r="F40" s="1"/>
      <c r="G40" s="23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3"/>
    </row>
    <row r="41" spans="1:79" s="7" customFormat="1">
      <c r="D41" s="39"/>
      <c r="F41" s="2" t="s">
        <v>25</v>
      </c>
      <c r="G41" s="2"/>
      <c r="H41" s="2">
        <f t="shared" ref="H41:AQ41" si="16">SUM(H38:H40)</f>
        <v>59633.11</v>
      </c>
      <c r="I41" s="2">
        <f t="shared" si="16"/>
        <v>973.94</v>
      </c>
      <c r="J41" s="2">
        <f t="shared" si="16"/>
        <v>60607.05</v>
      </c>
      <c r="K41" s="2">
        <f t="shared" si="16"/>
        <v>0</v>
      </c>
      <c r="L41" s="2">
        <f t="shared" si="16"/>
        <v>0</v>
      </c>
      <c r="M41" s="2">
        <f t="shared" si="16"/>
        <v>0</v>
      </c>
      <c r="N41" s="2">
        <f t="shared" si="16"/>
        <v>0</v>
      </c>
      <c r="O41" s="2">
        <f t="shared" si="16"/>
        <v>0</v>
      </c>
      <c r="P41" s="2">
        <f t="shared" si="16"/>
        <v>0</v>
      </c>
      <c r="Q41" s="2">
        <f t="shared" si="16"/>
        <v>0</v>
      </c>
      <c r="R41" s="2">
        <f t="shared" si="16"/>
        <v>0</v>
      </c>
      <c r="S41" s="2">
        <f t="shared" si="16"/>
        <v>0</v>
      </c>
      <c r="T41" s="2">
        <f t="shared" si="16"/>
        <v>0</v>
      </c>
      <c r="U41" s="2">
        <f t="shared" si="16"/>
        <v>0</v>
      </c>
      <c r="V41" s="2">
        <f t="shared" si="16"/>
        <v>0</v>
      </c>
      <c r="W41" s="2">
        <f t="shared" si="16"/>
        <v>0</v>
      </c>
      <c r="X41" s="2">
        <f t="shared" si="16"/>
        <v>0</v>
      </c>
      <c r="Y41" s="2">
        <f t="shared" si="16"/>
        <v>0</v>
      </c>
      <c r="Z41" s="2">
        <f t="shared" si="16"/>
        <v>0</v>
      </c>
      <c r="AA41" s="2">
        <f t="shared" si="16"/>
        <v>0</v>
      </c>
      <c r="AB41" s="2">
        <f t="shared" si="16"/>
        <v>0</v>
      </c>
      <c r="AC41" s="2">
        <f t="shared" si="16"/>
        <v>0</v>
      </c>
      <c r="AD41" s="2">
        <f t="shared" si="16"/>
        <v>0</v>
      </c>
      <c r="AE41" s="2">
        <f t="shared" si="16"/>
        <v>0</v>
      </c>
      <c r="AF41" s="2">
        <f t="shared" si="16"/>
        <v>0</v>
      </c>
      <c r="AG41" s="2">
        <f t="shared" si="16"/>
        <v>0</v>
      </c>
      <c r="AH41" s="2">
        <f t="shared" si="16"/>
        <v>0</v>
      </c>
      <c r="AI41" s="2">
        <f t="shared" si="16"/>
        <v>0</v>
      </c>
      <c r="AJ41" s="2">
        <f t="shared" si="16"/>
        <v>0</v>
      </c>
      <c r="AK41" s="2">
        <f t="shared" si="16"/>
        <v>0</v>
      </c>
      <c r="AL41" s="2">
        <f t="shared" si="16"/>
        <v>0</v>
      </c>
      <c r="AM41" s="2">
        <f t="shared" si="16"/>
        <v>0</v>
      </c>
      <c r="AN41" s="2">
        <f t="shared" si="16"/>
        <v>0</v>
      </c>
      <c r="AO41" s="2">
        <f t="shared" si="16"/>
        <v>0</v>
      </c>
      <c r="AP41" s="2">
        <f t="shared" si="16"/>
        <v>0</v>
      </c>
      <c r="AQ41" s="2">
        <f t="shared" si="16"/>
        <v>0</v>
      </c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>
        <f>SUM(BV38:BV40)</f>
        <v>0</v>
      </c>
      <c r="BW41" s="2">
        <f>SUM(BW38:BW40)</f>
        <v>0</v>
      </c>
      <c r="BX41" s="2">
        <f>SUM(BX38:BX40)</f>
        <v>0</v>
      </c>
    </row>
    <row r="42" spans="1:79" s="7" customFormat="1">
      <c r="D42" s="39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</row>
    <row r="43" spans="1:79">
      <c r="F43" s="1"/>
      <c r="G43" s="1"/>
      <c r="BY43" s="32" t="s">
        <v>2</v>
      </c>
    </row>
    <row r="44" spans="1:79" ht="26.4">
      <c r="A44" s="5">
        <v>590</v>
      </c>
      <c r="B44" s="5" t="s">
        <v>122</v>
      </c>
      <c r="C44" s="5" t="s">
        <v>57</v>
      </c>
      <c r="D44" s="32" t="s">
        <v>104</v>
      </c>
      <c r="E44" s="29">
        <v>39273</v>
      </c>
      <c r="F44" s="30" t="s">
        <v>52</v>
      </c>
      <c r="G44" s="21">
        <v>46722</v>
      </c>
      <c r="H44" s="5">
        <f>945000*0.30236</f>
        <v>285730.2</v>
      </c>
      <c r="I44" s="5">
        <f>304893.75*0.30236</f>
        <v>92187.674250000011</v>
      </c>
      <c r="J44" s="5">
        <f>SUM(H44:I44)</f>
        <v>377917.87424999999</v>
      </c>
      <c r="K44" s="5">
        <f>990000*0.30236</f>
        <v>299336.40000000002</v>
      </c>
      <c r="L44" s="5">
        <f>254100*0.30236</f>
        <v>76829.676000000007</v>
      </c>
      <c r="M44" s="5">
        <f>SUM(K44:L44)</f>
        <v>376166.076</v>
      </c>
      <c r="N44" s="5">
        <f>1045000*0.30236</f>
        <v>315966.2</v>
      </c>
      <c r="O44" s="5">
        <f>200681.25*0.30236</f>
        <v>60677.982750000003</v>
      </c>
      <c r="P44" s="5">
        <f>SUM(N44:O44)</f>
        <v>376644.18275000004</v>
      </c>
      <c r="Q44" s="5">
        <f>1100000*0.30236</f>
        <v>332596</v>
      </c>
      <c r="R44" s="5">
        <f>145750*0.30236</f>
        <v>44068.97</v>
      </c>
      <c r="S44" s="5">
        <f>SUM(Q44:R44)</f>
        <v>376664.97</v>
      </c>
      <c r="T44" s="5">
        <f>1155000*0.30236</f>
        <v>349225.80000000005</v>
      </c>
      <c r="U44" s="5">
        <f>89375*0.30236</f>
        <v>27023.425000000003</v>
      </c>
      <c r="V44" s="5">
        <f>SUM(T44:U44)</f>
        <v>376249.22500000003</v>
      </c>
      <c r="W44" s="5">
        <f>1210000*0.30236-4</f>
        <v>365851.60000000003</v>
      </c>
      <c r="X44" s="5">
        <f>30250*0.30236</f>
        <v>9146.3900000000012</v>
      </c>
      <c r="Y44" s="5">
        <f>SUM(W44:X44)</f>
        <v>374997.99000000005</v>
      </c>
      <c r="AB44" s="5">
        <f>SUM(Z44:AA44)</f>
        <v>0</v>
      </c>
      <c r="AE44" s="5">
        <f>SUM(AC44:AD44)</f>
        <v>0</v>
      </c>
      <c r="AH44" s="5">
        <f>SUM(AF44:AG44)</f>
        <v>0</v>
      </c>
      <c r="AK44" s="5">
        <f>SUM(AI44:AJ44)</f>
        <v>0</v>
      </c>
      <c r="AN44" s="5">
        <f>SUM(AL44:AM44)</f>
        <v>0</v>
      </c>
      <c r="AQ44" s="5">
        <f>SUM(AO44:AP44)</f>
        <v>0</v>
      </c>
      <c r="BV44" s="5">
        <f>+AO44+Z44+T44+Q44+N44+K44+AC44+AF44+AI44+AL44+W44+AR44+AU44+AX44+BA44+BD44+BG44+BJ44+BM44+BP44+BS44</f>
        <v>1662976</v>
      </c>
      <c r="BW44" s="5">
        <f>+AP44+AA44+U44+R44+O44+L44+AD44+AG44+AJ44+AM44+X44+AS44+AV44+AY44+BB44++BE44+BH44+BK44++BN44+BQ44+BT44</f>
        <v>217746.44375000003</v>
      </c>
      <c r="BX44" s="4">
        <f>SUM(BV44:BW44)</f>
        <v>1880722.4437500001</v>
      </c>
    </row>
    <row r="45" spans="1:79">
      <c r="F45" s="7" t="s">
        <v>33</v>
      </c>
      <c r="G45" s="7"/>
      <c r="H45" s="28">
        <f t="shared" ref="H45:AQ45" si="17">SUM(H44:H44)</f>
        <v>285730.2</v>
      </c>
      <c r="I45" s="28">
        <f t="shared" si="17"/>
        <v>92187.674250000011</v>
      </c>
      <c r="J45" s="28">
        <f t="shared" si="17"/>
        <v>377917.87424999999</v>
      </c>
      <c r="K45" s="28">
        <f t="shared" si="17"/>
        <v>299336.40000000002</v>
      </c>
      <c r="L45" s="28">
        <f t="shared" si="17"/>
        <v>76829.676000000007</v>
      </c>
      <c r="M45" s="28">
        <f t="shared" si="17"/>
        <v>376166.076</v>
      </c>
      <c r="N45" s="28">
        <f t="shared" si="17"/>
        <v>315966.2</v>
      </c>
      <c r="O45" s="28">
        <f t="shared" si="17"/>
        <v>60677.982750000003</v>
      </c>
      <c r="P45" s="28">
        <f t="shared" si="17"/>
        <v>376644.18275000004</v>
      </c>
      <c r="Q45" s="28">
        <f t="shared" si="17"/>
        <v>332596</v>
      </c>
      <c r="R45" s="28">
        <f t="shared" si="17"/>
        <v>44068.97</v>
      </c>
      <c r="S45" s="28">
        <f t="shared" si="17"/>
        <v>376664.97</v>
      </c>
      <c r="T45" s="28">
        <f t="shared" si="17"/>
        <v>349225.80000000005</v>
      </c>
      <c r="U45" s="28">
        <f t="shared" si="17"/>
        <v>27023.425000000003</v>
      </c>
      <c r="V45" s="28">
        <f t="shared" si="17"/>
        <v>376249.22500000003</v>
      </c>
      <c r="W45" s="28">
        <f t="shared" si="17"/>
        <v>365851.60000000003</v>
      </c>
      <c r="X45" s="28">
        <f t="shared" si="17"/>
        <v>9146.3900000000012</v>
      </c>
      <c r="Y45" s="28">
        <f t="shared" si="17"/>
        <v>374997.99000000005</v>
      </c>
      <c r="Z45" s="28">
        <f t="shared" si="17"/>
        <v>0</v>
      </c>
      <c r="AA45" s="28">
        <f t="shared" si="17"/>
        <v>0</v>
      </c>
      <c r="AB45" s="28">
        <f t="shared" si="17"/>
        <v>0</v>
      </c>
      <c r="AC45" s="28">
        <f t="shared" si="17"/>
        <v>0</v>
      </c>
      <c r="AD45" s="28">
        <f t="shared" si="17"/>
        <v>0</v>
      </c>
      <c r="AE45" s="28">
        <f t="shared" si="17"/>
        <v>0</v>
      </c>
      <c r="AF45" s="28">
        <f t="shared" si="17"/>
        <v>0</v>
      </c>
      <c r="AG45" s="28">
        <f t="shared" si="17"/>
        <v>0</v>
      </c>
      <c r="AH45" s="28">
        <f t="shared" si="17"/>
        <v>0</v>
      </c>
      <c r="AI45" s="28">
        <f t="shared" si="17"/>
        <v>0</v>
      </c>
      <c r="AJ45" s="28">
        <f t="shared" si="17"/>
        <v>0</v>
      </c>
      <c r="AK45" s="28">
        <f t="shared" si="17"/>
        <v>0</v>
      </c>
      <c r="AL45" s="28">
        <f t="shared" si="17"/>
        <v>0</v>
      </c>
      <c r="AM45" s="28">
        <f t="shared" si="17"/>
        <v>0</v>
      </c>
      <c r="AN45" s="28">
        <f t="shared" si="17"/>
        <v>0</v>
      </c>
      <c r="AO45" s="28">
        <f t="shared" si="17"/>
        <v>0</v>
      </c>
      <c r="AP45" s="28">
        <f t="shared" si="17"/>
        <v>0</v>
      </c>
      <c r="AQ45" s="28">
        <f t="shared" si="17"/>
        <v>0</v>
      </c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  <c r="BS45" s="28"/>
      <c r="BT45" s="28"/>
      <c r="BU45" s="28"/>
      <c r="BV45" s="28">
        <f>SUM(BV44:BV44)</f>
        <v>1662976</v>
      </c>
      <c r="BW45" s="28">
        <f>SUM(BW44:BW44)</f>
        <v>217746.44375000003</v>
      </c>
      <c r="BX45" s="28">
        <f>SUM(BX44:BX44)</f>
        <v>1880722.4437500001</v>
      </c>
      <c r="BY45" s="7"/>
    </row>
    <row r="46" spans="1:79"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</row>
    <row r="47" spans="1:79">
      <c r="A47" s="5">
        <v>590</v>
      </c>
      <c r="B47" s="5" t="s">
        <v>56</v>
      </c>
      <c r="C47" s="5" t="s">
        <v>57</v>
      </c>
      <c r="D47" s="32" t="s">
        <v>104</v>
      </c>
      <c r="E47" s="29">
        <v>38617</v>
      </c>
      <c r="F47" s="5" t="s">
        <v>46</v>
      </c>
      <c r="G47" s="22">
        <v>46296</v>
      </c>
      <c r="H47" s="1">
        <f t="shared" ref="H47:S47" si="18">+H112*H111</f>
        <v>44548.5</v>
      </c>
      <c r="I47" s="1">
        <f t="shared" si="18"/>
        <v>3371.1649359999992</v>
      </c>
      <c r="J47" s="1">
        <f t="shared" si="18"/>
        <v>47919.664936000001</v>
      </c>
      <c r="K47" s="1">
        <f>+K112*K111</f>
        <v>45396</v>
      </c>
      <c r="L47" s="1">
        <f>+L112*L111</f>
        <v>2638.6424999999999</v>
      </c>
      <c r="M47" s="1">
        <f t="shared" si="18"/>
        <v>48034.642500000002</v>
      </c>
      <c r="N47" s="1">
        <f t="shared" si="18"/>
        <v>46269</v>
      </c>
      <c r="O47" s="1">
        <f t="shared" si="18"/>
        <v>1893.8652480000003</v>
      </c>
      <c r="P47" s="1">
        <f t="shared" si="18"/>
        <v>48162.865248000002</v>
      </c>
      <c r="Q47" s="1">
        <f t="shared" si="18"/>
        <v>46269</v>
      </c>
      <c r="R47" s="1">
        <f t="shared" si="18"/>
        <v>1141.9939980000001</v>
      </c>
      <c r="S47" s="1">
        <f t="shared" si="18"/>
        <v>47410.993998000005</v>
      </c>
      <c r="T47" s="1">
        <f>+T112*T111+106</f>
        <v>47248</v>
      </c>
      <c r="U47" s="1">
        <f t="shared" ref="U47:AE47" si="19">+U112*U111</f>
        <v>383.02875</v>
      </c>
      <c r="V47" s="1">
        <f>+V112*V111</f>
        <v>47525.028750000005</v>
      </c>
      <c r="W47" s="1">
        <v>0</v>
      </c>
      <c r="X47" s="1">
        <f t="shared" si="19"/>
        <v>0</v>
      </c>
      <c r="Y47" s="1">
        <f>+Y112*Y111</f>
        <v>0</v>
      </c>
      <c r="Z47" s="1">
        <f t="shared" si="19"/>
        <v>0</v>
      </c>
      <c r="AA47" s="1">
        <f t="shared" si="19"/>
        <v>0</v>
      </c>
      <c r="AB47" s="1">
        <f t="shared" si="19"/>
        <v>0</v>
      </c>
      <c r="AC47" s="1">
        <f t="shared" si="19"/>
        <v>0</v>
      </c>
      <c r="AD47" s="1">
        <f t="shared" si="19"/>
        <v>0</v>
      </c>
      <c r="AE47" s="1">
        <f t="shared" si="19"/>
        <v>0</v>
      </c>
      <c r="AF47" s="1">
        <v>0</v>
      </c>
      <c r="AG47" s="1">
        <f t="shared" ref="AG47:AQ47" si="20">+AG112*AG111</f>
        <v>0</v>
      </c>
      <c r="AH47" s="1">
        <f t="shared" si="20"/>
        <v>0</v>
      </c>
      <c r="AI47" s="1">
        <f t="shared" si="20"/>
        <v>0</v>
      </c>
      <c r="AJ47" s="1">
        <f t="shared" si="20"/>
        <v>0</v>
      </c>
      <c r="AK47" s="1">
        <f t="shared" si="20"/>
        <v>0</v>
      </c>
      <c r="AL47" s="1">
        <f t="shared" si="20"/>
        <v>0</v>
      </c>
      <c r="AM47" s="1">
        <f t="shared" si="20"/>
        <v>0</v>
      </c>
      <c r="AN47" s="1">
        <f t="shared" si="20"/>
        <v>0</v>
      </c>
      <c r="AO47" s="1">
        <f t="shared" si="20"/>
        <v>0</v>
      </c>
      <c r="AP47" s="1">
        <f t="shared" si="20"/>
        <v>0</v>
      </c>
      <c r="AQ47" s="1">
        <f t="shared" si="20"/>
        <v>0</v>
      </c>
      <c r="AR47" s="1">
        <v>0</v>
      </c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5">
        <f>+AO47+Z47+T47+Q47+N47+K47+AC47+AF47+AI47+AL47+W47+AR47+AU47+AX47+BA47+BD47+BG47+BJ47+BM47+BP47+BS47</f>
        <v>185182</v>
      </c>
      <c r="BW47" s="5">
        <f>+AP47+AA47+U47+R47+O47+L47+AD47+AG47+AJ47+AM47+X47+AS47+AV47+AY47+BB47++BE47+BH47+BK47++BN47+BQ47+BT47</f>
        <v>6057.5304960000003</v>
      </c>
      <c r="BX47" s="4">
        <f>SUM(BV47:BW47)</f>
        <v>191239.53049599999</v>
      </c>
      <c r="CA47" s="5" t="s">
        <v>2</v>
      </c>
    </row>
    <row r="48" spans="1:79" ht="26.4">
      <c r="A48" s="5">
        <v>590</v>
      </c>
      <c r="B48" s="5" t="s">
        <v>56</v>
      </c>
      <c r="C48" s="5" t="s">
        <v>57</v>
      </c>
      <c r="D48" s="32" t="s">
        <v>104</v>
      </c>
      <c r="E48" s="29">
        <v>39720</v>
      </c>
      <c r="F48" s="10" t="s">
        <v>47</v>
      </c>
      <c r="G48" s="22">
        <v>47392</v>
      </c>
      <c r="H48" s="1">
        <f t="shared" ref="H48:AB48" si="21">+H113*H111</f>
        <v>39307.5</v>
      </c>
      <c r="I48" s="1">
        <f t="shared" si="21"/>
        <v>8283.3411020000003</v>
      </c>
      <c r="J48" s="1">
        <f t="shared" si="21"/>
        <v>47590.841102000006</v>
      </c>
      <c r="K48" s="1">
        <f t="shared" si="21"/>
        <v>40158</v>
      </c>
      <c r="L48" s="1">
        <f t="shared" si="21"/>
        <v>7285.5621360000005</v>
      </c>
      <c r="M48" s="1">
        <f t="shared" si="21"/>
        <v>47443.562136000008</v>
      </c>
      <c r="N48" s="1">
        <f t="shared" si="21"/>
        <v>41904</v>
      </c>
      <c r="O48" s="1">
        <f t="shared" si="21"/>
        <v>6259.7871360000008</v>
      </c>
      <c r="P48" s="1">
        <f t="shared" si="21"/>
        <v>48163.787136000006</v>
      </c>
      <c r="Q48" s="1">
        <f t="shared" si="21"/>
        <v>43650</v>
      </c>
      <c r="R48" s="1">
        <f t="shared" si="21"/>
        <v>5190.3621360000006</v>
      </c>
      <c r="S48" s="1">
        <f t="shared" si="21"/>
        <v>48840.362136000011</v>
      </c>
      <c r="T48" s="1">
        <f t="shared" si="21"/>
        <v>44523</v>
      </c>
      <c r="U48" s="1">
        <f t="shared" si="21"/>
        <v>4088.1996360000003</v>
      </c>
      <c r="V48" s="1">
        <f t="shared" si="21"/>
        <v>48611.199635999998</v>
      </c>
      <c r="W48" s="1">
        <f t="shared" si="21"/>
        <v>45396</v>
      </c>
      <c r="X48" s="1">
        <f t="shared" si="21"/>
        <v>2964.2121360000001</v>
      </c>
      <c r="Y48" s="1">
        <f t="shared" si="21"/>
        <v>48360.212135999995</v>
      </c>
      <c r="Z48" s="1">
        <f t="shared" si="21"/>
        <v>47142</v>
      </c>
      <c r="AA48" s="1">
        <f t="shared" si="21"/>
        <v>1807.487136</v>
      </c>
      <c r="AB48" s="1">
        <f t="shared" si="21"/>
        <v>48949.487135999996</v>
      </c>
      <c r="AC48" s="1">
        <f>+AC113*AC111+179</f>
        <v>48907.4156</v>
      </c>
      <c r="AD48" s="1">
        <f>+AD113*AD111</f>
        <v>609.10606800000005</v>
      </c>
      <c r="AE48" s="1">
        <f>+AE113*AE111</f>
        <v>49337.521668000001</v>
      </c>
      <c r="AF48" s="1">
        <v>0</v>
      </c>
      <c r="AG48" s="1">
        <f>+AG113*AG111</f>
        <v>0</v>
      </c>
      <c r="AH48" s="1">
        <f t="shared" ref="AH48:AQ48" si="22">+AH113*AH111</f>
        <v>0</v>
      </c>
      <c r="AI48" s="1">
        <f t="shared" si="22"/>
        <v>0</v>
      </c>
      <c r="AJ48" s="1">
        <f t="shared" si="22"/>
        <v>0</v>
      </c>
      <c r="AK48" s="1">
        <f t="shared" si="22"/>
        <v>0</v>
      </c>
      <c r="AL48" s="1">
        <f t="shared" si="22"/>
        <v>0</v>
      </c>
      <c r="AM48" s="1">
        <f t="shared" si="22"/>
        <v>0</v>
      </c>
      <c r="AN48" s="1">
        <f t="shared" si="22"/>
        <v>0</v>
      </c>
      <c r="AO48" s="1">
        <f t="shared" si="22"/>
        <v>0</v>
      </c>
      <c r="AP48" s="1">
        <f t="shared" si="22"/>
        <v>0</v>
      </c>
      <c r="AQ48" s="1">
        <f t="shared" si="22"/>
        <v>0</v>
      </c>
      <c r="AR48" s="1">
        <v>0</v>
      </c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5">
        <f t="shared" ref="BV48:BV57" si="23">+AO48+Z48+T48+Q48+N48+K48+AC48+AF48+AI48+AL48+W48+AR48+AU48+AX48+BA48+BD48+BG48+BJ48+BM48+BP48+BS48</f>
        <v>311680.41560000001</v>
      </c>
      <c r="BW48" s="5">
        <f t="shared" ref="BW48:BW57" si="24">+AP48+AA48+U48+R48+O48+L48+AD48+AG48+AJ48+AM48+X48+AS48+AV48+AY48+BB48++BE48+BH48+BK48++BN48+BQ48+BT48</f>
        <v>28204.716384000007</v>
      </c>
      <c r="BX48" s="4">
        <f t="shared" ref="BX48:BX57" si="25">SUM(BV48:BW48)</f>
        <v>339885.13198400004</v>
      </c>
      <c r="CA48" s="5" t="s">
        <v>2</v>
      </c>
    </row>
    <row r="49" spans="1:79" ht="26.4">
      <c r="A49" s="5">
        <v>590</v>
      </c>
      <c r="B49" s="5" t="s">
        <v>56</v>
      </c>
      <c r="C49" s="5" t="s">
        <v>57</v>
      </c>
      <c r="D49" s="32" t="s">
        <v>104</v>
      </c>
      <c r="E49" s="29">
        <v>39720</v>
      </c>
      <c r="F49" s="10" t="s">
        <v>48</v>
      </c>
      <c r="G49" s="22">
        <v>47757</v>
      </c>
      <c r="H49" s="1">
        <f t="shared" ref="H49:AE49" si="26">+H114*H111</f>
        <v>95211.5</v>
      </c>
      <c r="I49" s="1">
        <f t="shared" si="26"/>
        <v>22468.862306000003</v>
      </c>
      <c r="J49" s="1">
        <f t="shared" si="26"/>
        <v>117680.362306</v>
      </c>
      <c r="K49" s="1">
        <f t="shared" si="26"/>
        <v>97776</v>
      </c>
      <c r="L49" s="1">
        <f t="shared" si="26"/>
        <v>20044.338408</v>
      </c>
      <c r="M49" s="1">
        <f t="shared" si="26"/>
        <v>117820.338408</v>
      </c>
      <c r="N49" s="1">
        <f t="shared" si="26"/>
        <v>100395</v>
      </c>
      <c r="O49" s="1">
        <f t="shared" si="26"/>
        <v>17567.200907999999</v>
      </c>
      <c r="P49" s="1">
        <f t="shared" si="26"/>
        <v>117962.200908</v>
      </c>
      <c r="Q49" s="1">
        <f t="shared" si="26"/>
        <v>102141</v>
      </c>
      <c r="R49" s="1">
        <f t="shared" si="26"/>
        <v>15035.500908</v>
      </c>
      <c r="S49" s="1">
        <f t="shared" si="26"/>
        <v>117176.500908</v>
      </c>
      <c r="T49" s="1">
        <f t="shared" si="26"/>
        <v>104760</v>
      </c>
      <c r="U49" s="1">
        <f t="shared" si="26"/>
        <v>12449.238407999999</v>
      </c>
      <c r="V49" s="1">
        <f t="shared" si="26"/>
        <v>117209.238408</v>
      </c>
      <c r="W49" s="1">
        <f t="shared" si="26"/>
        <v>107379</v>
      </c>
      <c r="X49" s="1">
        <f t="shared" si="26"/>
        <v>9797.500908</v>
      </c>
      <c r="Y49" s="1">
        <f t="shared" si="26"/>
        <v>117176.500908</v>
      </c>
      <c r="Z49" s="1">
        <f t="shared" si="26"/>
        <v>109998</v>
      </c>
      <c r="AA49" s="1">
        <f t="shared" si="26"/>
        <v>7080.2884080000003</v>
      </c>
      <c r="AB49" s="1">
        <f t="shared" si="26"/>
        <v>117078.28840799999</v>
      </c>
      <c r="AC49" s="1">
        <f t="shared" si="26"/>
        <v>112617</v>
      </c>
      <c r="AD49" s="1">
        <f t="shared" si="26"/>
        <v>4297.6009080000003</v>
      </c>
      <c r="AE49" s="1">
        <f t="shared" si="26"/>
        <v>116914.60090799999</v>
      </c>
      <c r="AF49" s="1">
        <f>+AF114*AF111+487</f>
        <v>116082.50140000001</v>
      </c>
      <c r="AG49" s="1">
        <f>+AG114*AG111</f>
        <v>1444.9442039999999</v>
      </c>
      <c r="AH49" s="1">
        <f>+AH114*AH111</f>
        <v>117040.44560400001</v>
      </c>
      <c r="AI49" s="1">
        <v>0</v>
      </c>
      <c r="AJ49" s="1">
        <f t="shared" ref="AJ49:AQ49" si="27">+AJ114*AJ111</f>
        <v>0</v>
      </c>
      <c r="AK49" s="1">
        <f t="shared" si="27"/>
        <v>0</v>
      </c>
      <c r="AL49" s="1">
        <f t="shared" si="27"/>
        <v>0</v>
      </c>
      <c r="AM49" s="1">
        <f t="shared" si="27"/>
        <v>0</v>
      </c>
      <c r="AN49" s="1">
        <f t="shared" si="27"/>
        <v>0</v>
      </c>
      <c r="AO49" s="1">
        <f t="shared" si="27"/>
        <v>0</v>
      </c>
      <c r="AP49" s="1">
        <f t="shared" si="27"/>
        <v>0</v>
      </c>
      <c r="AQ49" s="1">
        <f t="shared" si="27"/>
        <v>0</v>
      </c>
      <c r="AR49" s="1">
        <v>0</v>
      </c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5">
        <f t="shared" si="23"/>
        <v>851148.50139999995</v>
      </c>
      <c r="BW49" s="5">
        <f t="shared" si="24"/>
        <v>87716.613059999989</v>
      </c>
      <c r="BX49" s="4">
        <f t="shared" si="25"/>
        <v>938865.11445999995</v>
      </c>
      <c r="CA49" s="5" t="s">
        <v>2</v>
      </c>
    </row>
    <row r="50" spans="1:79" ht="26.4">
      <c r="A50" s="5">
        <v>590</v>
      </c>
      <c r="B50" s="5" t="s">
        <v>56</v>
      </c>
      <c r="C50" s="5" t="s">
        <v>57</v>
      </c>
      <c r="D50" s="32" t="s">
        <v>104</v>
      </c>
      <c r="E50" s="29">
        <v>39720</v>
      </c>
      <c r="F50" s="10" t="s">
        <v>49</v>
      </c>
      <c r="G50" s="22">
        <v>47757</v>
      </c>
      <c r="H50" s="1">
        <f t="shared" ref="H50:AB50" si="28">+H115*H111</f>
        <v>111808</v>
      </c>
      <c r="I50" s="1">
        <f t="shared" si="28"/>
        <v>24348.8125</v>
      </c>
      <c r="J50" s="1">
        <f t="shared" si="28"/>
        <v>136156.8125</v>
      </c>
      <c r="K50" s="1">
        <f t="shared" si="28"/>
        <v>114363</v>
      </c>
      <c r="L50" s="1">
        <f t="shared" si="28"/>
        <v>21541.275000000001</v>
      </c>
      <c r="M50" s="1">
        <f t="shared" si="28"/>
        <v>135904.27499999999</v>
      </c>
      <c r="N50" s="1">
        <f t="shared" si="28"/>
        <v>116982</v>
      </c>
      <c r="O50" s="1">
        <f t="shared" si="28"/>
        <v>18682.2</v>
      </c>
      <c r="P50" s="1">
        <f t="shared" si="28"/>
        <v>135664.20000000001</v>
      </c>
      <c r="Q50" s="1">
        <f t="shared" si="28"/>
        <v>119601</v>
      </c>
      <c r="R50" s="1">
        <f t="shared" si="28"/>
        <v>15757.65</v>
      </c>
      <c r="S50" s="1">
        <f t="shared" si="28"/>
        <v>135358.65</v>
      </c>
      <c r="T50" s="1">
        <f t="shared" si="28"/>
        <v>123093</v>
      </c>
      <c r="U50" s="1">
        <f t="shared" si="28"/>
        <v>12767.625</v>
      </c>
      <c r="V50" s="1">
        <f t="shared" si="28"/>
        <v>135860.625</v>
      </c>
      <c r="W50" s="1">
        <f t="shared" si="28"/>
        <v>125712</v>
      </c>
      <c r="X50" s="1">
        <f t="shared" si="28"/>
        <v>9690.3000000000011</v>
      </c>
      <c r="Y50" s="1">
        <f t="shared" si="28"/>
        <v>135402.30000000002</v>
      </c>
      <c r="Z50" s="1">
        <f t="shared" si="28"/>
        <v>129204</v>
      </c>
      <c r="AA50" s="1">
        <f t="shared" si="28"/>
        <v>6547.5</v>
      </c>
      <c r="AB50" s="1">
        <f t="shared" si="28"/>
        <v>135751.5</v>
      </c>
      <c r="AC50" s="1">
        <f>+AC115*AC111+494</f>
        <v>133190</v>
      </c>
      <c r="AD50" s="1">
        <f>+AD115*AD111</f>
        <v>3317.4</v>
      </c>
      <c r="AE50" s="1">
        <f>+AE115*AE111</f>
        <v>136013.4</v>
      </c>
      <c r="AF50" s="1">
        <v>0</v>
      </c>
      <c r="AG50" s="1">
        <f t="shared" ref="AG50:AQ50" si="29">+AG115*AG111</f>
        <v>0</v>
      </c>
      <c r="AH50" s="1">
        <f t="shared" si="29"/>
        <v>0</v>
      </c>
      <c r="AI50" s="1">
        <f t="shared" si="29"/>
        <v>0</v>
      </c>
      <c r="AJ50" s="1">
        <f t="shared" si="29"/>
        <v>0</v>
      </c>
      <c r="AK50" s="1">
        <f t="shared" si="29"/>
        <v>0</v>
      </c>
      <c r="AL50" s="1">
        <f t="shared" si="29"/>
        <v>0</v>
      </c>
      <c r="AM50" s="1">
        <f t="shared" si="29"/>
        <v>0</v>
      </c>
      <c r="AN50" s="1">
        <f t="shared" si="29"/>
        <v>0</v>
      </c>
      <c r="AO50" s="1">
        <f t="shared" si="29"/>
        <v>0</v>
      </c>
      <c r="AP50" s="1">
        <f t="shared" si="29"/>
        <v>0</v>
      </c>
      <c r="AQ50" s="1">
        <f t="shared" si="29"/>
        <v>0</v>
      </c>
      <c r="AR50" s="1">
        <v>0</v>
      </c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5">
        <f t="shared" si="23"/>
        <v>862145</v>
      </c>
      <c r="BW50" s="5">
        <f t="shared" si="24"/>
        <v>88303.95</v>
      </c>
      <c r="BX50" s="4">
        <f t="shared" si="25"/>
        <v>950448.95</v>
      </c>
      <c r="CA50" s="5" t="s">
        <v>2</v>
      </c>
    </row>
    <row r="51" spans="1:79" ht="26.4">
      <c r="A51" s="5">
        <v>590</v>
      </c>
      <c r="B51" s="5" t="s">
        <v>56</v>
      </c>
      <c r="C51" s="5" t="s">
        <v>57</v>
      </c>
      <c r="D51" s="32" t="s">
        <v>104</v>
      </c>
      <c r="E51" s="29">
        <v>39720</v>
      </c>
      <c r="F51" s="10" t="s">
        <v>50</v>
      </c>
      <c r="G51" s="22">
        <v>47392</v>
      </c>
      <c r="H51" s="4">
        <f t="shared" ref="H51:Y51" si="30">+H116*H111</f>
        <v>41054.5</v>
      </c>
      <c r="I51" s="4">
        <f t="shared" si="30"/>
        <v>7708.6374999999998</v>
      </c>
      <c r="J51" s="4">
        <f t="shared" si="30"/>
        <v>48763.137499999997</v>
      </c>
      <c r="K51" s="4">
        <f t="shared" si="30"/>
        <v>41904</v>
      </c>
      <c r="L51" s="4">
        <f t="shared" si="30"/>
        <v>6678.45</v>
      </c>
      <c r="M51" s="4">
        <f t="shared" si="30"/>
        <v>48582.450000000004</v>
      </c>
      <c r="N51" s="4">
        <f t="shared" si="30"/>
        <v>42777</v>
      </c>
      <c r="O51" s="4">
        <f t="shared" si="30"/>
        <v>5630.85</v>
      </c>
      <c r="P51" s="4">
        <f t="shared" si="30"/>
        <v>48407.85</v>
      </c>
      <c r="Q51" s="4">
        <f t="shared" si="30"/>
        <v>43650</v>
      </c>
      <c r="R51" s="4">
        <f t="shared" si="30"/>
        <v>4561.4250000000002</v>
      </c>
      <c r="S51" s="4">
        <f t="shared" si="30"/>
        <v>48211.425000000003</v>
      </c>
      <c r="T51" s="4">
        <f t="shared" si="30"/>
        <v>45396</v>
      </c>
      <c r="U51" s="4">
        <f t="shared" si="30"/>
        <v>3470.1750000000002</v>
      </c>
      <c r="V51" s="4">
        <f t="shared" si="30"/>
        <v>48866.175000000003</v>
      </c>
      <c r="W51" s="4">
        <f t="shared" si="30"/>
        <v>46269</v>
      </c>
      <c r="X51" s="4">
        <f t="shared" si="30"/>
        <v>2335.2750000000001</v>
      </c>
      <c r="Y51" s="4">
        <f t="shared" si="30"/>
        <v>48604.275000000001</v>
      </c>
      <c r="Z51" s="4">
        <f>+Z116*Z111+153</f>
        <v>47295</v>
      </c>
      <c r="AA51" s="4">
        <f>+AA116*AA111</f>
        <v>1178.55</v>
      </c>
      <c r="AB51" s="4">
        <f>+AB116*AB111</f>
        <v>48320.55</v>
      </c>
      <c r="AC51" s="4">
        <v>0</v>
      </c>
      <c r="AD51" s="4">
        <f t="shared" ref="AD51:AQ51" si="31">+AD116*AD111</f>
        <v>0</v>
      </c>
      <c r="AE51" s="4">
        <f t="shared" si="31"/>
        <v>0</v>
      </c>
      <c r="AF51" s="4">
        <f t="shared" si="31"/>
        <v>0</v>
      </c>
      <c r="AG51" s="4">
        <f t="shared" si="31"/>
        <v>0</v>
      </c>
      <c r="AH51" s="4">
        <f t="shared" si="31"/>
        <v>0</v>
      </c>
      <c r="AI51" s="4">
        <f t="shared" si="31"/>
        <v>0</v>
      </c>
      <c r="AJ51" s="4">
        <f t="shared" si="31"/>
        <v>0</v>
      </c>
      <c r="AK51" s="4">
        <f t="shared" si="31"/>
        <v>0</v>
      </c>
      <c r="AL51" s="4">
        <f t="shared" si="31"/>
        <v>0</v>
      </c>
      <c r="AM51" s="4">
        <f t="shared" si="31"/>
        <v>0</v>
      </c>
      <c r="AN51" s="4">
        <f t="shared" si="31"/>
        <v>0</v>
      </c>
      <c r="AO51" s="4">
        <f t="shared" si="31"/>
        <v>0</v>
      </c>
      <c r="AP51" s="4">
        <f t="shared" si="31"/>
        <v>0</v>
      </c>
      <c r="AQ51" s="4">
        <f t="shared" si="31"/>
        <v>0</v>
      </c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5">
        <f t="shared" si="23"/>
        <v>267291</v>
      </c>
      <c r="BW51" s="5">
        <f t="shared" si="24"/>
        <v>23854.725000000002</v>
      </c>
      <c r="BX51" s="4">
        <f t="shared" si="25"/>
        <v>291145.72499999998</v>
      </c>
      <c r="CA51" s="5" t="s">
        <v>2</v>
      </c>
    </row>
    <row r="52" spans="1:79" ht="13.5" customHeight="1">
      <c r="A52" s="5">
        <v>590</v>
      </c>
      <c r="B52" s="5" t="s">
        <v>56</v>
      </c>
      <c r="C52" s="5" t="s">
        <v>57</v>
      </c>
      <c r="D52" s="32" t="s">
        <v>104</v>
      </c>
      <c r="E52" s="29">
        <v>40809</v>
      </c>
      <c r="F52" s="10" t="s">
        <v>76</v>
      </c>
      <c r="G52" s="22">
        <v>48670</v>
      </c>
      <c r="H52" s="4">
        <f t="shared" ref="H52:AK52" si="32">+H117*H111</f>
        <v>117049</v>
      </c>
      <c r="I52" s="4">
        <f t="shared" si="32"/>
        <v>36647.650571999999</v>
      </c>
      <c r="J52" s="4">
        <f t="shared" si="32"/>
        <v>153696.65057199998</v>
      </c>
      <c r="K52" s="4">
        <f t="shared" si="32"/>
        <v>120474</v>
      </c>
      <c r="L52" s="4">
        <f t="shared" si="32"/>
        <v>33702.123096000003</v>
      </c>
      <c r="M52" s="4">
        <f t="shared" si="32"/>
        <v>154176.123096</v>
      </c>
      <c r="N52" s="4">
        <f t="shared" si="32"/>
        <v>123093</v>
      </c>
      <c r="O52" s="4">
        <f t="shared" si="32"/>
        <v>30690.273096000001</v>
      </c>
      <c r="P52" s="4">
        <f t="shared" si="32"/>
        <v>153783.27309600002</v>
      </c>
      <c r="Q52" s="4">
        <f t="shared" si="32"/>
        <v>126585</v>
      </c>
      <c r="R52" s="4">
        <f t="shared" si="32"/>
        <v>27612.948096000004</v>
      </c>
      <c r="S52" s="4">
        <f t="shared" si="32"/>
        <v>154197.94809600001</v>
      </c>
      <c r="T52" s="4">
        <f t="shared" si="32"/>
        <v>129204</v>
      </c>
      <c r="U52" s="4">
        <f t="shared" si="32"/>
        <v>24448.323096000004</v>
      </c>
      <c r="V52" s="4">
        <f t="shared" si="32"/>
        <v>153652.32309600001</v>
      </c>
      <c r="W52" s="4">
        <f t="shared" si="32"/>
        <v>132696</v>
      </c>
      <c r="X52" s="4">
        <f t="shared" si="32"/>
        <v>21218.223096000002</v>
      </c>
      <c r="Y52" s="4">
        <f t="shared" si="32"/>
        <v>153914.223096</v>
      </c>
      <c r="Z52" s="4">
        <f t="shared" si="32"/>
        <v>136188</v>
      </c>
      <c r="AA52" s="4">
        <f t="shared" si="32"/>
        <v>17900.823096</v>
      </c>
      <c r="AB52" s="4">
        <f t="shared" si="32"/>
        <v>154088.82309600001</v>
      </c>
      <c r="AC52" s="4">
        <f t="shared" si="32"/>
        <v>139680</v>
      </c>
      <c r="AD52" s="4">
        <f t="shared" si="32"/>
        <v>14496.123095999999</v>
      </c>
      <c r="AE52" s="4">
        <f t="shared" si="32"/>
        <v>154176.123096</v>
      </c>
      <c r="AF52" s="4">
        <f t="shared" si="32"/>
        <v>143172</v>
      </c>
      <c r="AG52" s="4">
        <f t="shared" si="32"/>
        <v>11004.123096000001</v>
      </c>
      <c r="AH52" s="4">
        <f t="shared" si="32"/>
        <v>154176.123096</v>
      </c>
      <c r="AI52" s="4">
        <f t="shared" si="32"/>
        <v>146664</v>
      </c>
      <c r="AJ52" s="4">
        <f t="shared" si="32"/>
        <v>7424.823096000001</v>
      </c>
      <c r="AK52" s="4">
        <f t="shared" si="32"/>
        <v>154088.82309600001</v>
      </c>
      <c r="AL52" s="4">
        <f>+AL117*AL111+772</f>
        <v>151100.85399999999</v>
      </c>
      <c r="AM52" s="4">
        <f>+AM117*AM111</f>
        <v>3758.2230959999997</v>
      </c>
      <c r="AN52" s="4">
        <f>+AN117*AN111</f>
        <v>154087.07709599999</v>
      </c>
      <c r="AO52" s="4">
        <v>0</v>
      </c>
      <c r="AP52" s="4">
        <f t="shared" ref="AP52:BR52" si="33">+AP117*AP111</f>
        <v>0</v>
      </c>
      <c r="AQ52" s="4">
        <f t="shared" si="33"/>
        <v>0</v>
      </c>
      <c r="AR52" s="4">
        <f t="shared" si="33"/>
        <v>0</v>
      </c>
      <c r="AS52" s="4">
        <f t="shared" si="33"/>
        <v>0</v>
      </c>
      <c r="AT52" s="4">
        <f t="shared" si="33"/>
        <v>0</v>
      </c>
      <c r="AU52" s="4">
        <f t="shared" si="33"/>
        <v>0</v>
      </c>
      <c r="AV52" s="4">
        <f t="shared" si="33"/>
        <v>0</v>
      </c>
      <c r="AW52" s="4">
        <f t="shared" si="33"/>
        <v>0</v>
      </c>
      <c r="AX52" s="4">
        <f t="shared" si="33"/>
        <v>0</v>
      </c>
      <c r="AY52" s="4">
        <f t="shared" si="33"/>
        <v>0</v>
      </c>
      <c r="AZ52" s="4">
        <f t="shared" si="33"/>
        <v>0</v>
      </c>
      <c r="BA52" s="4">
        <f t="shared" si="33"/>
        <v>0</v>
      </c>
      <c r="BB52" s="4">
        <f t="shared" si="33"/>
        <v>0</v>
      </c>
      <c r="BC52" s="4">
        <f t="shared" si="33"/>
        <v>0</v>
      </c>
      <c r="BD52" s="4">
        <f t="shared" si="33"/>
        <v>0</v>
      </c>
      <c r="BE52" s="4">
        <f t="shared" si="33"/>
        <v>0</v>
      </c>
      <c r="BF52" s="4">
        <f t="shared" si="33"/>
        <v>0</v>
      </c>
      <c r="BG52" s="4">
        <f t="shared" si="33"/>
        <v>0</v>
      </c>
      <c r="BH52" s="4">
        <f t="shared" si="33"/>
        <v>0</v>
      </c>
      <c r="BI52" s="4">
        <f t="shared" si="33"/>
        <v>0</v>
      </c>
      <c r="BJ52" s="4">
        <f t="shared" si="33"/>
        <v>0</v>
      </c>
      <c r="BK52" s="4">
        <f t="shared" si="33"/>
        <v>0</v>
      </c>
      <c r="BL52" s="4">
        <f t="shared" si="33"/>
        <v>0</v>
      </c>
      <c r="BM52" s="4">
        <f t="shared" si="33"/>
        <v>0</v>
      </c>
      <c r="BN52" s="4">
        <f t="shared" si="33"/>
        <v>0</v>
      </c>
      <c r="BO52" s="4">
        <f t="shared" si="33"/>
        <v>0</v>
      </c>
      <c r="BP52" s="4">
        <f t="shared" si="33"/>
        <v>0</v>
      </c>
      <c r="BQ52" s="4">
        <f t="shared" si="33"/>
        <v>0</v>
      </c>
      <c r="BR52" s="4">
        <f t="shared" si="33"/>
        <v>0</v>
      </c>
      <c r="BS52" s="4">
        <f>+BS117*BS111</f>
        <v>0</v>
      </c>
      <c r="BT52" s="4">
        <f>+BT117*BT111</f>
        <v>0</v>
      </c>
      <c r="BU52" s="4">
        <f>+BU117*BU111</f>
        <v>0</v>
      </c>
      <c r="BV52" s="5">
        <f t="shared" si="23"/>
        <v>1348856.8540000001</v>
      </c>
      <c r="BW52" s="5">
        <f t="shared" si="24"/>
        <v>192256.00596000001</v>
      </c>
      <c r="BX52" s="4">
        <f t="shared" si="25"/>
        <v>1541112.85996</v>
      </c>
    </row>
    <row r="53" spans="1:79">
      <c r="A53" s="5">
        <v>590</v>
      </c>
      <c r="B53" s="5" t="s">
        <v>56</v>
      </c>
      <c r="C53" s="5" t="s">
        <v>57</v>
      </c>
      <c r="D53" s="32" t="s">
        <v>104</v>
      </c>
      <c r="E53" s="29">
        <v>41534</v>
      </c>
      <c r="F53" s="10" t="s">
        <v>63</v>
      </c>
      <c r="G53" s="22">
        <v>49400</v>
      </c>
      <c r="H53" s="4">
        <f t="shared" ref="H53:AQ53" si="34">+H118*H111</f>
        <v>88223.5</v>
      </c>
      <c r="I53" s="4">
        <f t="shared" si="34"/>
        <v>26040.104163999997</v>
      </c>
      <c r="J53" s="4">
        <f t="shared" si="34"/>
        <v>114263.60416399999</v>
      </c>
      <c r="K53" s="4">
        <f t="shared" si="34"/>
        <v>90792</v>
      </c>
      <c r="L53" s="4">
        <f t="shared" si="34"/>
        <v>24261.738551999999</v>
      </c>
      <c r="M53" s="4">
        <f t="shared" si="34"/>
        <v>115053.73855200001</v>
      </c>
      <c r="N53" s="4">
        <f t="shared" si="34"/>
        <v>92538</v>
      </c>
      <c r="O53" s="4">
        <f t="shared" si="34"/>
        <v>22445.898551999999</v>
      </c>
      <c r="P53" s="4">
        <f t="shared" si="34"/>
        <v>114983.898552</v>
      </c>
      <c r="Q53" s="4">
        <f t="shared" si="34"/>
        <v>94284</v>
      </c>
      <c r="R53" s="4">
        <f t="shared" si="34"/>
        <v>20595.138552</v>
      </c>
      <c r="S53" s="4">
        <f t="shared" si="34"/>
        <v>114879.138552</v>
      </c>
      <c r="T53" s="4">
        <f t="shared" si="34"/>
        <v>96030</v>
      </c>
      <c r="U53" s="4">
        <f t="shared" si="34"/>
        <v>18709.458552</v>
      </c>
      <c r="V53" s="4">
        <f t="shared" si="34"/>
        <v>114739.458552</v>
      </c>
      <c r="W53" s="4">
        <f t="shared" si="34"/>
        <v>97776</v>
      </c>
      <c r="X53" s="4">
        <f t="shared" si="34"/>
        <v>16788.858551999998</v>
      </c>
      <c r="Y53" s="4">
        <f t="shared" si="34"/>
        <v>114564.85855200001</v>
      </c>
      <c r="Z53" s="4">
        <f t="shared" si="34"/>
        <v>99522</v>
      </c>
      <c r="AA53" s="4">
        <f t="shared" si="34"/>
        <v>14833.338551999999</v>
      </c>
      <c r="AB53" s="4">
        <f t="shared" si="34"/>
        <v>114355.338552</v>
      </c>
      <c r="AC53" s="4">
        <f t="shared" si="34"/>
        <v>102141</v>
      </c>
      <c r="AD53" s="4">
        <f t="shared" si="34"/>
        <v>12842.898551999999</v>
      </c>
      <c r="AE53" s="4">
        <f t="shared" si="34"/>
        <v>114983.898552</v>
      </c>
      <c r="AF53" s="4">
        <f t="shared" si="34"/>
        <v>103887</v>
      </c>
      <c r="AG53" s="4">
        <f t="shared" si="34"/>
        <v>10800.078552000001</v>
      </c>
      <c r="AH53" s="4">
        <f t="shared" si="34"/>
        <v>114687.07855200001</v>
      </c>
      <c r="AI53" s="4">
        <f t="shared" si="34"/>
        <v>105633</v>
      </c>
      <c r="AJ53" s="4">
        <f t="shared" si="34"/>
        <v>8722.3385520000011</v>
      </c>
      <c r="AK53" s="4">
        <f t="shared" si="34"/>
        <v>114355.338552</v>
      </c>
      <c r="AL53" s="4">
        <f t="shared" si="34"/>
        <v>108252</v>
      </c>
      <c r="AM53" s="4">
        <f t="shared" si="34"/>
        <v>6609.6785520000003</v>
      </c>
      <c r="AN53" s="4">
        <f t="shared" si="34"/>
        <v>114861.678552</v>
      </c>
      <c r="AO53" s="4">
        <f t="shared" si="34"/>
        <v>109998</v>
      </c>
      <c r="AP53" s="4">
        <f t="shared" si="34"/>
        <v>4444.6385520000003</v>
      </c>
      <c r="AQ53" s="4">
        <f t="shared" si="34"/>
        <v>114442.638552</v>
      </c>
      <c r="AR53" s="4">
        <f>+AR118*AR111+695</f>
        <v>112928.92760000001</v>
      </c>
      <c r="AS53" s="4">
        <f>+AS118*AS111</f>
        <v>2244.6785520000003</v>
      </c>
      <c r="AT53" s="4">
        <f>+AT118*AT111</f>
        <v>114478.60615200001</v>
      </c>
      <c r="AU53" s="4">
        <f t="shared" ref="AU53:BP53" si="35">+AU118*AU111</f>
        <v>0</v>
      </c>
      <c r="AV53" s="4">
        <f t="shared" si="35"/>
        <v>0</v>
      </c>
      <c r="AW53" s="4">
        <f t="shared" si="35"/>
        <v>0</v>
      </c>
      <c r="AX53" s="4">
        <f t="shared" si="35"/>
        <v>0</v>
      </c>
      <c r="AY53" s="4">
        <f t="shared" si="35"/>
        <v>0</v>
      </c>
      <c r="AZ53" s="4">
        <f t="shared" si="35"/>
        <v>0</v>
      </c>
      <c r="BA53" s="4">
        <f t="shared" si="35"/>
        <v>0</v>
      </c>
      <c r="BB53" s="4">
        <f t="shared" si="35"/>
        <v>0</v>
      </c>
      <c r="BC53" s="4">
        <f t="shared" si="35"/>
        <v>0</v>
      </c>
      <c r="BD53" s="4">
        <f t="shared" si="35"/>
        <v>0</v>
      </c>
      <c r="BE53" s="4">
        <f t="shared" si="35"/>
        <v>0</v>
      </c>
      <c r="BF53" s="4">
        <f t="shared" si="35"/>
        <v>0</v>
      </c>
      <c r="BG53" s="4">
        <f t="shared" si="35"/>
        <v>0</v>
      </c>
      <c r="BH53" s="4">
        <f t="shared" si="35"/>
        <v>0</v>
      </c>
      <c r="BI53" s="4">
        <f t="shared" si="35"/>
        <v>0</v>
      </c>
      <c r="BJ53" s="4">
        <f t="shared" si="35"/>
        <v>0</v>
      </c>
      <c r="BK53" s="4">
        <f t="shared" si="35"/>
        <v>0</v>
      </c>
      <c r="BL53" s="4">
        <f t="shared" si="35"/>
        <v>0</v>
      </c>
      <c r="BM53" s="4">
        <f t="shared" si="35"/>
        <v>0</v>
      </c>
      <c r="BN53" s="4">
        <f t="shared" si="35"/>
        <v>0</v>
      </c>
      <c r="BO53" s="4">
        <f t="shared" si="35"/>
        <v>0</v>
      </c>
      <c r="BP53" s="4">
        <f t="shared" si="35"/>
        <v>0</v>
      </c>
      <c r="BQ53" s="4">
        <f>+BQ118*BQ111</f>
        <v>0</v>
      </c>
      <c r="BR53" s="4">
        <f>+BR118*BR111</f>
        <v>0</v>
      </c>
      <c r="BS53" s="4">
        <f>+BS118*BS111</f>
        <v>0</v>
      </c>
      <c r="BT53" s="4">
        <f>+BT118*BT111</f>
        <v>0</v>
      </c>
      <c r="BU53" s="4">
        <f>+BU118*BU111</f>
        <v>0</v>
      </c>
      <c r="BV53" s="5">
        <f t="shared" si="23"/>
        <v>1213781.9276000001</v>
      </c>
      <c r="BW53" s="5">
        <f t="shared" si="24"/>
        <v>163298.74262399998</v>
      </c>
      <c r="BX53" s="4">
        <f t="shared" si="25"/>
        <v>1377080.670224</v>
      </c>
    </row>
    <row r="54" spans="1:79">
      <c r="A54" s="5">
        <v>590</v>
      </c>
      <c r="B54" s="5" t="s">
        <v>56</v>
      </c>
      <c r="C54" s="5" t="s">
        <v>57</v>
      </c>
      <c r="D54" s="32" t="s">
        <v>104</v>
      </c>
      <c r="E54" s="29">
        <v>42384</v>
      </c>
      <c r="F54" s="10" t="s">
        <v>112</v>
      </c>
      <c r="G54" s="22">
        <v>50131</v>
      </c>
      <c r="H54" s="4">
        <f t="shared" ref="H54:AW54" si="36">+H119*H111</f>
        <v>135392.5</v>
      </c>
      <c r="I54" s="4">
        <f t="shared" si="36"/>
        <v>59434.438926000003</v>
      </c>
      <c r="J54" s="4">
        <f t="shared" si="36"/>
        <v>194826.938926</v>
      </c>
      <c r="K54" s="4">
        <f t="shared" si="36"/>
        <v>138807</v>
      </c>
      <c r="L54" s="4">
        <f t="shared" si="36"/>
        <v>56017.543068000006</v>
      </c>
      <c r="M54" s="4">
        <f t="shared" si="36"/>
        <v>194824.54306800003</v>
      </c>
      <c r="N54" s="4">
        <f t="shared" si="36"/>
        <v>140553</v>
      </c>
      <c r="O54" s="4">
        <f t="shared" si="36"/>
        <v>52547.368068000003</v>
      </c>
      <c r="P54" s="4">
        <f t="shared" si="36"/>
        <v>193100.36806800001</v>
      </c>
      <c r="Q54" s="4">
        <f t="shared" si="36"/>
        <v>144045</v>
      </c>
      <c r="R54" s="4">
        <f t="shared" si="36"/>
        <v>49033.543068000006</v>
      </c>
      <c r="S54" s="4">
        <f t="shared" si="36"/>
        <v>193078.54306800003</v>
      </c>
      <c r="T54" s="4">
        <f t="shared" si="36"/>
        <v>147537</v>
      </c>
      <c r="U54" s="4">
        <f t="shared" si="36"/>
        <v>45432.418067999999</v>
      </c>
      <c r="V54" s="4">
        <f t="shared" si="36"/>
        <v>192969.41806800003</v>
      </c>
      <c r="W54" s="4">
        <f t="shared" si="36"/>
        <v>151029</v>
      </c>
      <c r="X54" s="4">
        <f t="shared" si="36"/>
        <v>41743.993067999996</v>
      </c>
      <c r="Y54" s="4">
        <f t="shared" si="36"/>
        <v>192772.99306800001</v>
      </c>
      <c r="Z54" s="4">
        <f t="shared" si="36"/>
        <v>154521</v>
      </c>
      <c r="AA54" s="4">
        <f t="shared" si="36"/>
        <v>37968.268067999998</v>
      </c>
      <c r="AB54" s="4">
        <f t="shared" si="36"/>
        <v>192489.268068</v>
      </c>
      <c r="AC54" s="4">
        <f t="shared" si="36"/>
        <v>158013</v>
      </c>
      <c r="AD54" s="4">
        <f t="shared" si="36"/>
        <v>34105.243067999996</v>
      </c>
      <c r="AE54" s="4">
        <f t="shared" si="36"/>
        <v>192118.24306800001</v>
      </c>
      <c r="AF54" s="4">
        <f t="shared" si="36"/>
        <v>161505</v>
      </c>
      <c r="AG54" s="4">
        <f t="shared" si="36"/>
        <v>30154.918067999999</v>
      </c>
      <c r="AH54" s="4">
        <f t="shared" si="36"/>
        <v>191659.91806800003</v>
      </c>
      <c r="AI54" s="4">
        <f t="shared" si="36"/>
        <v>164997</v>
      </c>
      <c r="AJ54" s="4">
        <f t="shared" si="36"/>
        <v>26117.293067999999</v>
      </c>
      <c r="AK54" s="4">
        <f t="shared" si="36"/>
        <v>191114.29306800003</v>
      </c>
      <c r="AL54" s="4">
        <f t="shared" si="36"/>
        <v>168489</v>
      </c>
      <c r="AM54" s="4">
        <f t="shared" si="36"/>
        <v>21992.368068</v>
      </c>
      <c r="AN54" s="4">
        <f t="shared" si="36"/>
        <v>190481.36806800001</v>
      </c>
      <c r="AO54" s="4">
        <f t="shared" si="36"/>
        <v>171981</v>
      </c>
      <c r="AP54" s="4">
        <f t="shared" si="36"/>
        <v>17780.143068000001</v>
      </c>
      <c r="AQ54" s="4">
        <f t="shared" si="36"/>
        <v>189761.143068</v>
      </c>
      <c r="AR54" s="4">
        <f t="shared" si="36"/>
        <v>175473</v>
      </c>
      <c r="AS54" s="4">
        <f t="shared" si="36"/>
        <v>13480.618068000002</v>
      </c>
      <c r="AT54" s="4">
        <f t="shared" si="36"/>
        <v>188953.61806800001</v>
      </c>
      <c r="AU54" s="4">
        <f t="shared" si="36"/>
        <v>178965</v>
      </c>
      <c r="AV54" s="4">
        <f t="shared" si="36"/>
        <v>9093.7930680000009</v>
      </c>
      <c r="AW54" s="4">
        <f t="shared" si="36"/>
        <v>188058.79306800003</v>
      </c>
      <c r="AX54" s="4">
        <f>+AX119*AX111+1283</f>
        <v>186069.68780000001</v>
      </c>
      <c r="AY54" s="4">
        <f>+AY119*AY111</f>
        <v>4619.6680680000009</v>
      </c>
      <c r="AZ54" s="4">
        <f>+AZ119*AZ111</f>
        <v>189406.35586800001</v>
      </c>
      <c r="BA54" s="4">
        <f t="shared" ref="BA54:BP54" si="37">+BA119*BA111</f>
        <v>0</v>
      </c>
      <c r="BB54" s="4">
        <f t="shared" si="37"/>
        <v>0</v>
      </c>
      <c r="BC54" s="4">
        <f t="shared" si="37"/>
        <v>0</v>
      </c>
      <c r="BD54" s="4">
        <f t="shared" si="37"/>
        <v>0</v>
      </c>
      <c r="BE54" s="4">
        <f t="shared" si="37"/>
        <v>0</v>
      </c>
      <c r="BF54" s="4">
        <f t="shared" si="37"/>
        <v>0</v>
      </c>
      <c r="BG54" s="4">
        <f t="shared" si="37"/>
        <v>0</v>
      </c>
      <c r="BH54" s="4">
        <f t="shared" si="37"/>
        <v>0</v>
      </c>
      <c r="BI54" s="4">
        <f t="shared" si="37"/>
        <v>0</v>
      </c>
      <c r="BJ54" s="4">
        <f t="shared" si="37"/>
        <v>0</v>
      </c>
      <c r="BK54" s="4">
        <f t="shared" si="37"/>
        <v>0</v>
      </c>
      <c r="BL54" s="4">
        <f t="shared" si="37"/>
        <v>0</v>
      </c>
      <c r="BM54" s="4">
        <f t="shared" si="37"/>
        <v>0</v>
      </c>
      <c r="BN54" s="4">
        <f t="shared" si="37"/>
        <v>0</v>
      </c>
      <c r="BO54" s="4">
        <f t="shared" si="37"/>
        <v>0</v>
      </c>
      <c r="BP54" s="4">
        <f t="shared" si="37"/>
        <v>0</v>
      </c>
      <c r="BQ54" s="4">
        <f>+BQ119*BQ111</f>
        <v>0</v>
      </c>
      <c r="BR54" s="4">
        <f>+BR119*BR111</f>
        <v>0</v>
      </c>
      <c r="BS54" s="4">
        <f>+BS119*BS111</f>
        <v>0</v>
      </c>
      <c r="BT54" s="4">
        <f>+BT119*BT111</f>
        <v>0</v>
      </c>
      <c r="BU54" s="4">
        <f>+BU119*BU111</f>
        <v>0</v>
      </c>
      <c r="BV54" s="5">
        <f t="shared" si="23"/>
        <v>2241984.6878</v>
      </c>
      <c r="BW54" s="5">
        <f t="shared" si="24"/>
        <v>440087.17795200006</v>
      </c>
      <c r="BX54" s="4">
        <f t="shared" si="25"/>
        <v>2682071.8657519999</v>
      </c>
    </row>
    <row r="55" spans="1:79">
      <c r="A55" s="5">
        <v>590</v>
      </c>
      <c r="B55" s="5" t="s">
        <v>56</v>
      </c>
      <c r="C55" s="5" t="s">
        <v>57</v>
      </c>
      <c r="D55" s="32" t="s">
        <v>104</v>
      </c>
      <c r="E55" s="29">
        <v>43356</v>
      </c>
      <c r="F55" s="10" t="s">
        <v>94</v>
      </c>
      <c r="G55" s="22">
        <v>52505</v>
      </c>
      <c r="H55" s="4">
        <f t="shared" ref="H55:AM55" si="38">+H120*H111</f>
        <v>228857</v>
      </c>
      <c r="I55" s="4">
        <f t="shared" si="38"/>
        <v>461076.97499999998</v>
      </c>
      <c r="J55" s="4">
        <f t="shared" si="38"/>
        <v>689933.97499999998</v>
      </c>
      <c r="K55" s="4">
        <f t="shared" si="38"/>
        <v>240075</v>
      </c>
      <c r="L55" s="4">
        <f t="shared" si="38"/>
        <v>449376.75</v>
      </c>
      <c r="M55" s="4">
        <f>+M120*M111</f>
        <v>689451.75</v>
      </c>
      <c r="N55" s="4">
        <f t="shared" si="38"/>
        <v>253170</v>
      </c>
      <c r="O55" s="4">
        <f t="shared" si="38"/>
        <v>437373</v>
      </c>
      <c r="P55" s="4">
        <f t="shared" si="38"/>
        <v>690543</v>
      </c>
      <c r="Q55" s="4">
        <f t="shared" si="38"/>
        <v>267138</v>
      </c>
      <c r="R55" s="4">
        <f t="shared" si="38"/>
        <v>424714.5</v>
      </c>
      <c r="S55" s="4">
        <f t="shared" si="38"/>
        <v>691852.5</v>
      </c>
      <c r="T55" s="4">
        <f t="shared" si="38"/>
        <v>315153</v>
      </c>
      <c r="U55" s="4">
        <f t="shared" si="38"/>
        <v>411357.60000000003</v>
      </c>
      <c r="V55" s="4">
        <f t="shared" si="38"/>
        <v>726510.6</v>
      </c>
      <c r="W55" s="4">
        <f t="shared" si="38"/>
        <v>330867</v>
      </c>
      <c r="X55" s="4">
        <f t="shared" si="38"/>
        <v>395599.95</v>
      </c>
      <c r="Y55" s="4">
        <f t="shared" si="38"/>
        <v>726466.95000000007</v>
      </c>
      <c r="Z55" s="4">
        <f t="shared" si="38"/>
        <v>348327</v>
      </c>
      <c r="AA55" s="4">
        <f t="shared" si="38"/>
        <v>379056.60000000003</v>
      </c>
      <c r="AB55" s="4">
        <f t="shared" si="38"/>
        <v>727383.6</v>
      </c>
      <c r="AC55" s="4">
        <f t="shared" si="38"/>
        <v>365787</v>
      </c>
      <c r="AD55" s="4">
        <f t="shared" si="38"/>
        <v>361640.25</v>
      </c>
      <c r="AE55" s="4">
        <f t="shared" si="38"/>
        <v>727427.25</v>
      </c>
      <c r="AF55" s="4">
        <f t="shared" si="38"/>
        <v>384120</v>
      </c>
      <c r="AG55" s="4">
        <f t="shared" si="38"/>
        <v>343350.9</v>
      </c>
      <c r="AH55" s="4">
        <f t="shared" si="38"/>
        <v>727470.9</v>
      </c>
      <c r="AI55" s="4">
        <f t="shared" si="38"/>
        <v>404199</v>
      </c>
      <c r="AJ55" s="4">
        <f t="shared" si="38"/>
        <v>324144.90000000002</v>
      </c>
      <c r="AK55" s="4">
        <f t="shared" si="38"/>
        <v>728343.9</v>
      </c>
      <c r="AL55" s="4">
        <f t="shared" si="38"/>
        <v>425151</v>
      </c>
      <c r="AM55" s="4">
        <f t="shared" si="38"/>
        <v>303934.95</v>
      </c>
      <c r="AN55" s="4">
        <f t="shared" ref="AN55:BO55" si="39">+AN120*AN111</f>
        <v>729085.95000000007</v>
      </c>
      <c r="AO55" s="4">
        <f t="shared" si="39"/>
        <v>446976</v>
      </c>
      <c r="AP55" s="4">
        <f t="shared" si="39"/>
        <v>282677.40000000002</v>
      </c>
      <c r="AQ55" s="4">
        <f t="shared" si="39"/>
        <v>729653.4</v>
      </c>
      <c r="AR55" s="4">
        <f t="shared" si="39"/>
        <v>469674</v>
      </c>
      <c r="AS55" s="4">
        <f t="shared" si="39"/>
        <v>260328.6</v>
      </c>
      <c r="AT55" s="4">
        <f t="shared" si="39"/>
        <v>730002.6</v>
      </c>
      <c r="AU55" s="4">
        <f t="shared" si="39"/>
        <v>494118</v>
      </c>
      <c r="AV55" s="4">
        <f t="shared" si="39"/>
        <v>236844.9</v>
      </c>
      <c r="AW55" s="4">
        <f t="shared" si="39"/>
        <v>730962.9</v>
      </c>
      <c r="AX55" s="4">
        <f t="shared" si="39"/>
        <v>519435</v>
      </c>
      <c r="AY55" s="4">
        <f t="shared" si="39"/>
        <v>212139</v>
      </c>
      <c r="AZ55" s="4">
        <f t="shared" si="39"/>
        <v>731574</v>
      </c>
      <c r="BA55" s="4">
        <f t="shared" si="39"/>
        <v>545625</v>
      </c>
      <c r="BB55" s="4">
        <f t="shared" si="39"/>
        <v>186167.25</v>
      </c>
      <c r="BC55" s="4">
        <f t="shared" si="39"/>
        <v>731792.25</v>
      </c>
      <c r="BD55" s="4">
        <f t="shared" si="39"/>
        <v>573561</v>
      </c>
      <c r="BE55" s="4">
        <f t="shared" si="39"/>
        <v>158886</v>
      </c>
      <c r="BF55" s="4">
        <f t="shared" si="39"/>
        <v>732447</v>
      </c>
      <c r="BG55" s="4">
        <f t="shared" si="39"/>
        <v>603243</v>
      </c>
      <c r="BH55" s="4">
        <f t="shared" si="39"/>
        <v>130207.95</v>
      </c>
      <c r="BI55" s="4">
        <f t="shared" si="39"/>
        <v>733450.95000000007</v>
      </c>
      <c r="BJ55" s="4">
        <f t="shared" si="39"/>
        <v>633798</v>
      </c>
      <c r="BK55" s="4">
        <f t="shared" si="39"/>
        <v>100045.8</v>
      </c>
      <c r="BL55" s="4">
        <f t="shared" si="39"/>
        <v>733843.8</v>
      </c>
      <c r="BM55" s="4">
        <f t="shared" si="39"/>
        <v>666099</v>
      </c>
      <c r="BN55" s="4">
        <f t="shared" si="39"/>
        <v>68355.900000000009</v>
      </c>
      <c r="BO55" s="4">
        <f t="shared" si="39"/>
        <v>734454.9</v>
      </c>
      <c r="BP55" s="4">
        <f>+BP120*BP111+5148</f>
        <v>706167</v>
      </c>
      <c r="BQ55" s="4">
        <f>+BQ120*BQ111</f>
        <v>35050.950000000004</v>
      </c>
      <c r="BR55" s="4">
        <f>+BR120*BR111</f>
        <v>736069.95000000007</v>
      </c>
      <c r="BS55" s="4">
        <f>+BS120*BS111</f>
        <v>0</v>
      </c>
      <c r="BT55" s="4">
        <f>+BT120*BT111</f>
        <v>0</v>
      </c>
      <c r="BU55" s="4">
        <f>+BU120*BU111</f>
        <v>0</v>
      </c>
      <c r="BV55" s="5">
        <f t="shared" si="23"/>
        <v>8992683</v>
      </c>
      <c r="BW55" s="5">
        <f t="shared" si="24"/>
        <v>5501253.1500000013</v>
      </c>
      <c r="BX55" s="4">
        <f t="shared" si="25"/>
        <v>14493936.150000002</v>
      </c>
      <c r="BY55" s="5" t="s">
        <v>2</v>
      </c>
    </row>
    <row r="56" spans="1:79" ht="26.4">
      <c r="A56" s="5">
        <v>590</v>
      </c>
      <c r="B56" s="5" t="s">
        <v>56</v>
      </c>
      <c r="C56" s="5" t="s">
        <v>58</v>
      </c>
      <c r="D56" s="32" t="s">
        <v>104</v>
      </c>
      <c r="E56" s="29">
        <v>43356</v>
      </c>
      <c r="F56" s="10" t="s">
        <v>108</v>
      </c>
      <c r="G56" s="22">
        <v>45200</v>
      </c>
      <c r="H56" s="4">
        <f t="shared" ref="H56:M56" si="40">+H121*H111</f>
        <v>0</v>
      </c>
      <c r="I56" s="4">
        <f t="shared" si="40"/>
        <v>0</v>
      </c>
      <c r="J56" s="4">
        <f t="shared" si="40"/>
        <v>0</v>
      </c>
      <c r="K56" s="4">
        <f t="shared" si="40"/>
        <v>611100</v>
      </c>
      <c r="L56" s="4">
        <f t="shared" si="40"/>
        <v>0</v>
      </c>
      <c r="M56" s="4">
        <f t="shared" si="40"/>
        <v>611100</v>
      </c>
      <c r="N56" s="4">
        <f>+N121*N111+350</f>
        <v>350</v>
      </c>
      <c r="O56" s="4">
        <f>+O121*O111</f>
        <v>0</v>
      </c>
      <c r="P56" s="4">
        <f>+P121*P111+350</f>
        <v>350</v>
      </c>
      <c r="Q56" s="4">
        <f>+Q121*Q111</f>
        <v>0</v>
      </c>
      <c r="R56" s="4">
        <f>+R121*R111</f>
        <v>0</v>
      </c>
      <c r="S56" s="4">
        <f t="shared" ref="S56:BU56" si="41">+S121*S111</f>
        <v>0</v>
      </c>
      <c r="T56" s="4">
        <f t="shared" si="41"/>
        <v>0</v>
      </c>
      <c r="U56" s="4">
        <f t="shared" si="41"/>
        <v>0</v>
      </c>
      <c r="V56" s="4">
        <f t="shared" si="41"/>
        <v>0</v>
      </c>
      <c r="W56" s="4">
        <f t="shared" si="41"/>
        <v>0</v>
      </c>
      <c r="X56" s="4">
        <f t="shared" si="41"/>
        <v>0</v>
      </c>
      <c r="Y56" s="4">
        <f t="shared" si="41"/>
        <v>0</v>
      </c>
      <c r="Z56" s="4">
        <f t="shared" si="41"/>
        <v>0</v>
      </c>
      <c r="AA56" s="4">
        <f t="shared" si="41"/>
        <v>0</v>
      </c>
      <c r="AB56" s="4">
        <f t="shared" si="41"/>
        <v>0</v>
      </c>
      <c r="AC56" s="4">
        <f t="shared" si="41"/>
        <v>0</v>
      </c>
      <c r="AD56" s="4">
        <f t="shared" si="41"/>
        <v>0</v>
      </c>
      <c r="AE56" s="4">
        <f t="shared" si="41"/>
        <v>0</v>
      </c>
      <c r="AF56" s="4">
        <f t="shared" si="41"/>
        <v>0</v>
      </c>
      <c r="AG56" s="4">
        <f t="shared" si="41"/>
        <v>0</v>
      </c>
      <c r="AH56" s="4">
        <f t="shared" si="41"/>
        <v>0</v>
      </c>
      <c r="AI56" s="4">
        <f t="shared" si="41"/>
        <v>0</v>
      </c>
      <c r="AJ56" s="4">
        <f t="shared" si="41"/>
        <v>0</v>
      </c>
      <c r="AK56" s="4">
        <f t="shared" si="41"/>
        <v>0</v>
      </c>
      <c r="AL56" s="4">
        <f t="shared" si="41"/>
        <v>0</v>
      </c>
      <c r="AM56" s="4">
        <f t="shared" si="41"/>
        <v>0</v>
      </c>
      <c r="AN56" s="4">
        <f t="shared" si="41"/>
        <v>0</v>
      </c>
      <c r="AO56" s="4">
        <f t="shared" si="41"/>
        <v>0</v>
      </c>
      <c r="AP56" s="4">
        <f t="shared" si="41"/>
        <v>0</v>
      </c>
      <c r="AQ56" s="4">
        <f t="shared" si="41"/>
        <v>0</v>
      </c>
      <c r="AR56" s="4">
        <f t="shared" si="41"/>
        <v>0</v>
      </c>
      <c r="AS56" s="4">
        <f t="shared" si="41"/>
        <v>0</v>
      </c>
      <c r="AT56" s="4">
        <f t="shared" si="41"/>
        <v>0</v>
      </c>
      <c r="AU56" s="4">
        <f t="shared" si="41"/>
        <v>0</v>
      </c>
      <c r="AV56" s="4">
        <f t="shared" si="41"/>
        <v>0</v>
      </c>
      <c r="AW56" s="4">
        <f t="shared" si="41"/>
        <v>0</v>
      </c>
      <c r="AX56" s="4">
        <f t="shared" si="41"/>
        <v>0</v>
      </c>
      <c r="AY56" s="4">
        <f t="shared" si="41"/>
        <v>0</v>
      </c>
      <c r="AZ56" s="4">
        <f t="shared" si="41"/>
        <v>0</v>
      </c>
      <c r="BA56" s="4">
        <f t="shared" si="41"/>
        <v>0</v>
      </c>
      <c r="BB56" s="4">
        <f t="shared" si="41"/>
        <v>0</v>
      </c>
      <c r="BC56" s="4">
        <f t="shared" si="41"/>
        <v>0</v>
      </c>
      <c r="BD56" s="4">
        <f t="shared" si="41"/>
        <v>0</v>
      </c>
      <c r="BE56" s="4">
        <f t="shared" si="41"/>
        <v>0</v>
      </c>
      <c r="BF56" s="4">
        <f t="shared" si="41"/>
        <v>0</v>
      </c>
      <c r="BG56" s="4">
        <f t="shared" si="41"/>
        <v>0</v>
      </c>
      <c r="BH56" s="4">
        <f t="shared" si="41"/>
        <v>0</v>
      </c>
      <c r="BI56" s="4">
        <f t="shared" si="41"/>
        <v>0</v>
      </c>
      <c r="BJ56" s="4">
        <f t="shared" si="41"/>
        <v>0</v>
      </c>
      <c r="BK56" s="4">
        <f t="shared" si="41"/>
        <v>0</v>
      </c>
      <c r="BL56" s="4">
        <f t="shared" si="41"/>
        <v>0</v>
      </c>
      <c r="BM56" s="4">
        <f t="shared" si="41"/>
        <v>0</v>
      </c>
      <c r="BN56" s="4">
        <f t="shared" si="41"/>
        <v>0</v>
      </c>
      <c r="BO56" s="4">
        <f t="shared" si="41"/>
        <v>0</v>
      </c>
      <c r="BP56" s="4">
        <f t="shared" si="41"/>
        <v>0</v>
      </c>
      <c r="BQ56" s="4">
        <f t="shared" si="41"/>
        <v>0</v>
      </c>
      <c r="BR56" s="4">
        <f t="shared" si="41"/>
        <v>0</v>
      </c>
      <c r="BS56" s="4">
        <f t="shared" si="41"/>
        <v>0</v>
      </c>
      <c r="BT56" s="4">
        <f t="shared" si="41"/>
        <v>0</v>
      </c>
      <c r="BU56" s="4">
        <f t="shared" si="41"/>
        <v>0</v>
      </c>
      <c r="BV56" s="5">
        <f t="shared" si="23"/>
        <v>611450</v>
      </c>
      <c r="BW56" s="5">
        <f t="shared" si="24"/>
        <v>0</v>
      </c>
      <c r="BX56" s="4">
        <f t="shared" si="25"/>
        <v>611450</v>
      </c>
      <c r="BY56" s="5" t="s">
        <v>2</v>
      </c>
    </row>
    <row r="57" spans="1:79">
      <c r="A57" s="5">
        <v>590</v>
      </c>
      <c r="B57" s="5" t="s">
        <v>56</v>
      </c>
      <c r="C57" s="5" t="s">
        <v>58</v>
      </c>
      <c r="D57" s="32" t="s">
        <v>104</v>
      </c>
      <c r="E57" s="29">
        <v>44230</v>
      </c>
      <c r="F57" s="10" t="s">
        <v>114</v>
      </c>
      <c r="G57" s="22">
        <v>57436</v>
      </c>
      <c r="H57" s="3">
        <f t="shared" ref="H57:AM57" si="42">+H122*H111</f>
        <v>69880</v>
      </c>
      <c r="I57" s="3">
        <f t="shared" si="42"/>
        <v>53948.233499999995</v>
      </c>
      <c r="J57" s="3">
        <f t="shared" si="42"/>
        <v>123828.2335</v>
      </c>
      <c r="K57" s="3">
        <f t="shared" si="42"/>
        <v>70713</v>
      </c>
      <c r="L57" s="3">
        <f t="shared" si="42"/>
        <v>52709.120999999999</v>
      </c>
      <c r="M57" s="3">
        <f t="shared" si="42"/>
        <v>123422.121</v>
      </c>
      <c r="N57" s="3">
        <f t="shared" si="42"/>
        <v>71586</v>
      </c>
      <c r="O57" s="3">
        <f t="shared" si="42"/>
        <v>51485.786100000005</v>
      </c>
      <c r="P57" s="3">
        <f t="shared" si="42"/>
        <v>123071.7861</v>
      </c>
      <c r="Q57" s="3">
        <f t="shared" si="42"/>
        <v>72459</v>
      </c>
      <c r="R57" s="3">
        <f t="shared" si="42"/>
        <v>50247.348300000005</v>
      </c>
      <c r="S57" s="3">
        <f t="shared" si="42"/>
        <v>122706.3483</v>
      </c>
      <c r="T57" s="3">
        <f t="shared" si="42"/>
        <v>73332</v>
      </c>
      <c r="U57" s="3">
        <f t="shared" si="42"/>
        <v>48993.8076</v>
      </c>
      <c r="V57" s="3">
        <f t="shared" si="42"/>
        <v>122325.8076</v>
      </c>
      <c r="W57" s="3">
        <f t="shared" si="42"/>
        <v>75078</v>
      </c>
      <c r="X57" s="3">
        <f t="shared" si="42"/>
        <v>47725.164000000004</v>
      </c>
      <c r="Y57" s="3">
        <f t="shared" si="42"/>
        <v>122803.164</v>
      </c>
      <c r="Z57" s="3">
        <f t="shared" si="42"/>
        <v>75951</v>
      </c>
      <c r="AA57" s="3">
        <f t="shared" si="42"/>
        <v>46426.314599999998</v>
      </c>
      <c r="AB57" s="3">
        <f t="shared" si="42"/>
        <v>122377.3146</v>
      </c>
      <c r="AC57" s="3">
        <f t="shared" si="42"/>
        <v>76824</v>
      </c>
      <c r="AD57" s="3">
        <f t="shared" si="42"/>
        <v>45112.362300000001</v>
      </c>
      <c r="AE57" s="3">
        <f t="shared" si="42"/>
        <v>121936.36230000001</v>
      </c>
      <c r="AF57" s="3">
        <f t="shared" si="42"/>
        <v>77697</v>
      </c>
      <c r="AG57" s="3">
        <f t="shared" si="42"/>
        <v>43783.307099999998</v>
      </c>
      <c r="AH57" s="3">
        <f t="shared" si="42"/>
        <v>121480.30710000001</v>
      </c>
      <c r="AI57" s="3">
        <f t="shared" si="42"/>
        <v>79443</v>
      </c>
      <c r="AJ57" s="3">
        <f t="shared" si="42"/>
        <v>42439.149000000005</v>
      </c>
      <c r="AK57" s="3">
        <f t="shared" si="42"/>
        <v>121882.149</v>
      </c>
      <c r="AL57" s="3">
        <f t="shared" si="42"/>
        <v>80316</v>
      </c>
      <c r="AM57" s="3">
        <f t="shared" si="42"/>
        <v>41064.785100000001</v>
      </c>
      <c r="AN57" s="3">
        <f t="shared" ref="AN57:BP57" si="43">+AN122*AN111</f>
        <v>121380.78510000001</v>
      </c>
      <c r="AO57" s="3">
        <f t="shared" si="43"/>
        <v>81189</v>
      </c>
      <c r="AP57" s="3">
        <f t="shared" si="43"/>
        <v>39675.318299999999</v>
      </c>
      <c r="AQ57" s="3">
        <f t="shared" si="43"/>
        <v>120864.3183</v>
      </c>
      <c r="AR57" s="3">
        <f t="shared" si="43"/>
        <v>82062</v>
      </c>
      <c r="AS57" s="3">
        <f t="shared" si="43"/>
        <v>38270.748599999999</v>
      </c>
      <c r="AT57" s="3">
        <f t="shared" si="43"/>
        <v>120332.74860000001</v>
      </c>
      <c r="AU57" s="3">
        <f t="shared" si="43"/>
        <v>83808</v>
      </c>
      <c r="AV57" s="3">
        <f t="shared" si="43"/>
        <v>36851.076000000001</v>
      </c>
      <c r="AW57" s="3">
        <f t="shared" si="43"/>
        <v>120659.076</v>
      </c>
      <c r="AX57" s="3">
        <f t="shared" si="43"/>
        <v>84681</v>
      </c>
      <c r="AY57" s="3">
        <f t="shared" si="43"/>
        <v>35401.1976</v>
      </c>
      <c r="AZ57" s="3">
        <f t="shared" si="43"/>
        <v>120082.1976</v>
      </c>
      <c r="BA57" s="3">
        <f t="shared" si="43"/>
        <v>85554</v>
      </c>
      <c r="BB57" s="3">
        <f t="shared" si="43"/>
        <v>33936.2163</v>
      </c>
      <c r="BC57" s="3">
        <f t="shared" si="43"/>
        <v>119490.2163</v>
      </c>
      <c r="BD57" s="3">
        <f t="shared" si="43"/>
        <v>87300</v>
      </c>
      <c r="BE57" s="3">
        <f t="shared" si="43"/>
        <v>32456.132100000003</v>
      </c>
      <c r="BF57" s="3">
        <f t="shared" si="43"/>
        <v>119756.1321</v>
      </c>
      <c r="BG57" s="3">
        <f t="shared" si="43"/>
        <v>88173</v>
      </c>
      <c r="BH57" s="3">
        <f t="shared" si="43"/>
        <v>30945.842100000002</v>
      </c>
      <c r="BI57" s="3">
        <f t="shared" si="43"/>
        <v>119118.84210000001</v>
      </c>
      <c r="BJ57" s="3">
        <f t="shared" si="43"/>
        <v>89919</v>
      </c>
      <c r="BK57" s="3">
        <f t="shared" si="43"/>
        <v>29420.449199999999</v>
      </c>
      <c r="BL57" s="3">
        <f t="shared" si="43"/>
        <v>119339.4492</v>
      </c>
      <c r="BM57" s="3">
        <f t="shared" si="43"/>
        <v>90792</v>
      </c>
      <c r="BN57" s="3">
        <f t="shared" si="43"/>
        <v>27864.8505</v>
      </c>
      <c r="BO57" s="3">
        <f t="shared" si="43"/>
        <v>118656.8505</v>
      </c>
      <c r="BP57" s="3">
        <f t="shared" si="43"/>
        <v>91665</v>
      </c>
      <c r="BQ57" s="3">
        <f>+BQ122*BQ111</f>
        <v>26294.1489</v>
      </c>
      <c r="BR57" s="3">
        <f>+BR122*BR111</f>
        <v>117959.1489</v>
      </c>
      <c r="BS57" s="3">
        <f>+BS122*BS111+1745</f>
        <v>1429973</v>
      </c>
      <c r="BT57" s="3">
        <f>+BT122*BT111</f>
        <v>190825.1415</v>
      </c>
      <c r="BU57" s="3">
        <f>+BU122*BU111</f>
        <v>1619053.1415000001</v>
      </c>
      <c r="BV57" s="6">
        <f t="shared" si="23"/>
        <v>3048515</v>
      </c>
      <c r="BW57" s="6">
        <f t="shared" si="24"/>
        <v>991928.26619999995</v>
      </c>
      <c r="BX57" s="3">
        <f t="shared" si="25"/>
        <v>4040443.2662</v>
      </c>
      <c r="BY57" s="5" t="s">
        <v>2</v>
      </c>
    </row>
    <row r="58" spans="1:79">
      <c r="F58" s="10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X58" s="4"/>
      <c r="BY58" s="5" t="s">
        <v>2</v>
      </c>
      <c r="CA58" s="5" t="s">
        <v>2</v>
      </c>
    </row>
    <row r="59" spans="1:79" s="7" customFormat="1" ht="16.8">
      <c r="D59" s="39"/>
      <c r="F59" s="2" t="s">
        <v>26</v>
      </c>
      <c r="G59" s="8"/>
      <c r="H59" s="2">
        <f>SUM(H45:H57)</f>
        <v>1257062.2</v>
      </c>
      <c r="I59" s="2">
        <f>SUM(I45:I57)</f>
        <v>795515.89475599991</v>
      </c>
      <c r="J59" s="2">
        <f t="shared" ref="J59:BM59" si="44">SUM(J45:J57)</f>
        <v>2052578.0947559997</v>
      </c>
      <c r="K59" s="2">
        <f t="shared" si="44"/>
        <v>1910894.4</v>
      </c>
      <c r="L59" s="2">
        <f t="shared" si="44"/>
        <v>751085.21976000001</v>
      </c>
      <c r="M59" s="2">
        <f t="shared" si="44"/>
        <v>2661979.6197599997</v>
      </c>
      <c r="N59" s="2">
        <f t="shared" si="44"/>
        <v>1345583.2</v>
      </c>
      <c r="O59" s="2">
        <f t="shared" si="44"/>
        <v>705254.21185800002</v>
      </c>
      <c r="P59" s="2">
        <f t="shared" si="44"/>
        <v>2050837.4118580001</v>
      </c>
      <c r="Q59" s="2">
        <f t="shared" si="44"/>
        <v>1392418</v>
      </c>
      <c r="R59" s="2">
        <f t="shared" si="44"/>
        <v>657959.38005799998</v>
      </c>
      <c r="S59" s="2">
        <f t="shared" si="44"/>
        <v>2050377.3800580001</v>
      </c>
      <c r="T59" s="2">
        <f t="shared" si="44"/>
        <v>1475501.8</v>
      </c>
      <c r="U59" s="2">
        <f t="shared" si="44"/>
        <v>609123.29911000002</v>
      </c>
      <c r="V59" s="2">
        <f t="shared" si="44"/>
        <v>2084519.0991099998</v>
      </c>
      <c r="W59" s="2">
        <f t="shared" si="44"/>
        <v>1478053.6</v>
      </c>
      <c r="X59" s="2">
        <f t="shared" si="44"/>
        <v>557009.86676</v>
      </c>
      <c r="Y59" s="2">
        <f t="shared" si="44"/>
        <v>2035063.4667600004</v>
      </c>
      <c r="Z59" s="2">
        <f t="shared" si="44"/>
        <v>1148148</v>
      </c>
      <c r="AA59" s="2">
        <f t="shared" si="44"/>
        <v>512799.16986000002</v>
      </c>
      <c r="AB59" s="2">
        <f t="shared" si="44"/>
        <v>1660794.16986</v>
      </c>
      <c r="AC59" s="2">
        <f t="shared" si="44"/>
        <v>1137159.4155999999</v>
      </c>
      <c r="AD59" s="2">
        <f t="shared" si="44"/>
        <v>476420.98399199994</v>
      </c>
      <c r="AE59" s="2">
        <f t="shared" si="44"/>
        <v>1612907.3995919998</v>
      </c>
      <c r="AF59" s="2">
        <f t="shared" si="44"/>
        <v>986463.50139999995</v>
      </c>
      <c r="AG59" s="2">
        <f t="shared" si="44"/>
        <v>440538.27101999999</v>
      </c>
      <c r="AH59" s="2">
        <f t="shared" si="44"/>
        <v>1426514.7724200001</v>
      </c>
      <c r="AI59" s="2">
        <f t="shared" si="44"/>
        <v>900936</v>
      </c>
      <c r="AJ59" s="2">
        <f t="shared" si="44"/>
        <v>408848.50371600001</v>
      </c>
      <c r="AK59" s="2">
        <f t="shared" si="44"/>
        <v>1309784.5037160001</v>
      </c>
      <c r="AL59" s="2">
        <f t="shared" si="44"/>
        <v>933308.85400000005</v>
      </c>
      <c r="AM59" s="2">
        <f t="shared" si="44"/>
        <v>377360.004816</v>
      </c>
      <c r="AN59" s="2">
        <f t="shared" si="44"/>
        <v>1309896.8588160002</v>
      </c>
      <c r="AO59" s="2">
        <f t="shared" si="44"/>
        <v>810144</v>
      </c>
      <c r="AP59" s="2">
        <f t="shared" si="44"/>
        <v>344577.49992000003</v>
      </c>
      <c r="AQ59" s="2">
        <f t="shared" si="44"/>
        <v>1154721.4999200001</v>
      </c>
      <c r="AR59" s="2">
        <f t="shared" si="44"/>
        <v>840137.92760000005</v>
      </c>
      <c r="AS59" s="2">
        <f t="shared" si="44"/>
        <v>314324.64522000001</v>
      </c>
      <c r="AT59" s="2">
        <f t="shared" si="44"/>
        <v>1153767.5728200001</v>
      </c>
      <c r="AU59" s="2">
        <f t="shared" si="44"/>
        <v>756891</v>
      </c>
      <c r="AV59" s="2">
        <f t="shared" si="44"/>
        <v>282789.76906800002</v>
      </c>
      <c r="AW59" s="2">
        <f t="shared" si="44"/>
        <v>1039680.769068</v>
      </c>
      <c r="AX59" s="2">
        <f t="shared" si="44"/>
        <v>790185.68779999996</v>
      </c>
      <c r="AY59" s="2">
        <f t="shared" si="44"/>
        <v>252159.86566800001</v>
      </c>
      <c r="AZ59" s="2">
        <f t="shared" si="44"/>
        <v>1041062.553468</v>
      </c>
      <c r="BA59" s="2">
        <f t="shared" si="44"/>
        <v>631179</v>
      </c>
      <c r="BB59" s="2">
        <f t="shared" si="44"/>
        <v>220103.4663</v>
      </c>
      <c r="BC59" s="2">
        <f t="shared" si="44"/>
        <v>851282.46629999997</v>
      </c>
      <c r="BD59" s="2">
        <f t="shared" si="44"/>
        <v>660861</v>
      </c>
      <c r="BE59" s="2">
        <f t="shared" si="44"/>
        <v>191342.13209999999</v>
      </c>
      <c r="BF59" s="2">
        <f t="shared" si="44"/>
        <v>852203.13210000005</v>
      </c>
      <c r="BG59" s="2">
        <f t="shared" si="44"/>
        <v>691416</v>
      </c>
      <c r="BH59" s="2">
        <f t="shared" si="44"/>
        <v>161153.79209999999</v>
      </c>
      <c r="BI59" s="2">
        <f t="shared" si="44"/>
        <v>852569.79210000008</v>
      </c>
      <c r="BJ59" s="2">
        <f t="shared" si="44"/>
        <v>723717</v>
      </c>
      <c r="BK59" s="2">
        <f t="shared" si="44"/>
        <v>129466.24920000001</v>
      </c>
      <c r="BL59" s="2">
        <f t="shared" si="44"/>
        <v>853183.24920000008</v>
      </c>
      <c r="BM59" s="2">
        <f t="shared" si="44"/>
        <v>756891</v>
      </c>
      <c r="BN59" s="2">
        <f>SUM(BN45:BN57)</f>
        <v>96220.750500000009</v>
      </c>
      <c r="BO59" s="2">
        <f>SUM(BO45:BO57)</f>
        <v>853111.75050000008</v>
      </c>
      <c r="BP59" s="2">
        <f>SUM(BP45:BP57)</f>
        <v>797832</v>
      </c>
      <c r="BQ59" s="2">
        <f>SUM(BQ45:BQ57)</f>
        <v>61345.098900000005</v>
      </c>
      <c r="BR59" s="2">
        <f t="shared" ref="BR59:BX59" si="45">SUM(BR45:BR57)</f>
        <v>854029.0989000001</v>
      </c>
      <c r="BS59" s="2">
        <f t="shared" si="45"/>
        <v>1429973</v>
      </c>
      <c r="BT59" s="2">
        <f t="shared" si="45"/>
        <v>190825.1415</v>
      </c>
      <c r="BU59" s="2">
        <f t="shared" si="45"/>
        <v>1619053.1415000001</v>
      </c>
      <c r="BV59" s="2">
        <f>SUM(BV45:BV57)+1</f>
        <v>21597695.386399999</v>
      </c>
      <c r="BW59" s="2">
        <f>SUM(BW45:BW57)</f>
        <v>7740707.3214260023</v>
      </c>
      <c r="BX59" s="2">
        <f t="shared" si="45"/>
        <v>29338401.707826</v>
      </c>
      <c r="BY59" s="2"/>
      <c r="BZ59" s="17"/>
    </row>
    <row r="60" spans="1:79">
      <c r="F60" s="1"/>
      <c r="G60" s="4"/>
    </row>
    <row r="61" spans="1:79">
      <c r="A61" s="5">
        <v>591</v>
      </c>
      <c r="B61" s="5" t="s">
        <v>54</v>
      </c>
      <c r="C61" s="5" t="s">
        <v>59</v>
      </c>
      <c r="D61" s="32" t="s">
        <v>104</v>
      </c>
      <c r="E61" s="29">
        <v>42507</v>
      </c>
      <c r="F61" s="1" t="s">
        <v>106</v>
      </c>
      <c r="G61" s="21">
        <v>44333</v>
      </c>
      <c r="H61" s="6"/>
      <c r="I61" s="6"/>
      <c r="J61" s="6">
        <f>SUM(H61:I61)</f>
        <v>0</v>
      </c>
      <c r="K61" s="6"/>
      <c r="L61" s="6"/>
      <c r="M61" s="6">
        <f>SUM(K61:L61)</f>
        <v>0</v>
      </c>
      <c r="N61" s="6"/>
      <c r="O61" s="6"/>
      <c r="P61" s="6">
        <f>SUM(N61:O61)</f>
        <v>0</v>
      </c>
      <c r="Q61" s="6"/>
      <c r="R61" s="6"/>
      <c r="S61" s="6">
        <f>SUM(Q61:R61)</f>
        <v>0</v>
      </c>
      <c r="T61" s="6"/>
      <c r="U61" s="6"/>
      <c r="V61" s="6">
        <f>SUM(T61:U61)</f>
        <v>0</v>
      </c>
      <c r="W61" s="6"/>
      <c r="X61" s="6"/>
      <c r="Y61" s="6">
        <f>SUM(W61:X61)</f>
        <v>0</v>
      </c>
      <c r="Z61" s="6"/>
      <c r="AA61" s="6"/>
      <c r="AB61" s="6">
        <f>SUM(Z61:AA61)</f>
        <v>0</v>
      </c>
      <c r="AC61" s="6"/>
      <c r="AD61" s="6"/>
      <c r="AE61" s="6">
        <f>SUM(AC61:AD61)</f>
        <v>0</v>
      </c>
      <c r="AF61" s="6"/>
      <c r="AG61" s="6"/>
      <c r="AH61" s="6">
        <f>SUM(AF61:AG61)</f>
        <v>0</v>
      </c>
      <c r="AI61" s="6"/>
      <c r="AJ61" s="6"/>
      <c r="AK61" s="6">
        <f>SUM(AI61:AJ61)</f>
        <v>0</v>
      </c>
      <c r="AL61" s="6"/>
      <c r="AM61" s="6"/>
      <c r="AN61" s="6">
        <f>SUM(AL61:AM61)</f>
        <v>0</v>
      </c>
      <c r="AO61" s="6"/>
      <c r="AP61" s="6"/>
      <c r="AQ61" s="6">
        <f>SUM(AO61:AP61)</f>
        <v>0</v>
      </c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>
        <f>+AO61+Z61+T61+Q61+N61+K61+AC61+AF61+AI61+AL61+W61+AR61+AU61+AX61+BA61+BD61+BG61+BJ61+BM61+BP61+BS61</f>
        <v>0</v>
      </c>
      <c r="BW61" s="6">
        <f>+AP61+AA61+U61+R61+O61+L61+AD61+AG61+AJ61+AM61+X61+AS61+AV61+AY61+BB61++BE61+BH61+BK61++BN61+BQ61+BT61</f>
        <v>0</v>
      </c>
      <c r="BX61" s="3">
        <f>SUM(BV61:BW61)</f>
        <v>0</v>
      </c>
      <c r="BZ61" s="5" t="s">
        <v>2</v>
      </c>
    </row>
    <row r="62" spans="1:79" s="7" customFormat="1">
      <c r="D62" s="39"/>
      <c r="F62" s="2" t="s">
        <v>27</v>
      </c>
      <c r="G62" s="8"/>
      <c r="H62" s="2">
        <f t="shared" ref="H62:BP62" si="46">SUM(H61:H61)</f>
        <v>0</v>
      </c>
      <c r="I62" s="2">
        <f t="shared" si="46"/>
        <v>0</v>
      </c>
      <c r="J62" s="2">
        <f t="shared" si="46"/>
        <v>0</v>
      </c>
      <c r="K62" s="2">
        <f t="shared" si="46"/>
        <v>0</v>
      </c>
      <c r="L62" s="2">
        <f t="shared" si="46"/>
        <v>0</v>
      </c>
      <c r="M62" s="2">
        <f t="shared" si="46"/>
        <v>0</v>
      </c>
      <c r="N62" s="2">
        <f t="shared" si="46"/>
        <v>0</v>
      </c>
      <c r="O62" s="2">
        <f t="shared" si="46"/>
        <v>0</v>
      </c>
      <c r="P62" s="2">
        <f t="shared" si="46"/>
        <v>0</v>
      </c>
      <c r="Q62" s="2">
        <f t="shared" si="46"/>
        <v>0</v>
      </c>
      <c r="R62" s="2">
        <f t="shared" si="46"/>
        <v>0</v>
      </c>
      <c r="S62" s="2">
        <f t="shared" si="46"/>
        <v>0</v>
      </c>
      <c r="T62" s="2">
        <f t="shared" si="46"/>
        <v>0</v>
      </c>
      <c r="U62" s="2">
        <f t="shared" si="46"/>
        <v>0</v>
      </c>
      <c r="V62" s="2">
        <f t="shared" si="46"/>
        <v>0</v>
      </c>
      <c r="W62" s="2">
        <f t="shared" si="46"/>
        <v>0</v>
      </c>
      <c r="X62" s="2">
        <f t="shared" si="46"/>
        <v>0</v>
      </c>
      <c r="Y62" s="2">
        <f t="shared" si="46"/>
        <v>0</v>
      </c>
      <c r="Z62" s="2">
        <f t="shared" si="46"/>
        <v>0</v>
      </c>
      <c r="AA62" s="2">
        <f t="shared" si="46"/>
        <v>0</v>
      </c>
      <c r="AB62" s="2">
        <f t="shared" si="46"/>
        <v>0</v>
      </c>
      <c r="AC62" s="2">
        <f t="shared" si="46"/>
        <v>0</v>
      </c>
      <c r="AD62" s="2">
        <f t="shared" si="46"/>
        <v>0</v>
      </c>
      <c r="AE62" s="2">
        <f t="shared" si="46"/>
        <v>0</v>
      </c>
      <c r="AF62" s="2">
        <f t="shared" si="46"/>
        <v>0</v>
      </c>
      <c r="AG62" s="2">
        <f t="shared" si="46"/>
        <v>0</v>
      </c>
      <c r="AH62" s="2">
        <f t="shared" si="46"/>
        <v>0</v>
      </c>
      <c r="AI62" s="2">
        <f t="shared" si="46"/>
        <v>0</v>
      </c>
      <c r="AJ62" s="2">
        <f t="shared" si="46"/>
        <v>0</v>
      </c>
      <c r="AK62" s="2">
        <f t="shared" si="46"/>
        <v>0</v>
      </c>
      <c r="AL62" s="2">
        <f t="shared" si="46"/>
        <v>0</v>
      </c>
      <c r="AM62" s="2">
        <f t="shared" si="46"/>
        <v>0</v>
      </c>
      <c r="AN62" s="2">
        <f t="shared" si="46"/>
        <v>0</v>
      </c>
      <c r="AO62" s="2">
        <f t="shared" si="46"/>
        <v>0</v>
      </c>
      <c r="AP62" s="2">
        <f t="shared" si="46"/>
        <v>0</v>
      </c>
      <c r="AQ62" s="2">
        <f t="shared" si="46"/>
        <v>0</v>
      </c>
      <c r="AR62" s="2">
        <f t="shared" si="46"/>
        <v>0</v>
      </c>
      <c r="AS62" s="2">
        <f t="shared" si="46"/>
        <v>0</v>
      </c>
      <c r="AT62" s="2">
        <f t="shared" si="46"/>
        <v>0</v>
      </c>
      <c r="AU62" s="2">
        <f t="shared" si="46"/>
        <v>0</v>
      </c>
      <c r="AV62" s="2">
        <f t="shared" si="46"/>
        <v>0</v>
      </c>
      <c r="AW62" s="2">
        <f t="shared" si="46"/>
        <v>0</v>
      </c>
      <c r="AX62" s="2">
        <f t="shared" si="46"/>
        <v>0</v>
      </c>
      <c r="AY62" s="2">
        <f t="shared" si="46"/>
        <v>0</v>
      </c>
      <c r="AZ62" s="2">
        <f t="shared" si="46"/>
        <v>0</v>
      </c>
      <c r="BA62" s="2">
        <f t="shared" si="46"/>
        <v>0</v>
      </c>
      <c r="BB62" s="2">
        <f t="shared" si="46"/>
        <v>0</v>
      </c>
      <c r="BC62" s="2">
        <f t="shared" si="46"/>
        <v>0</v>
      </c>
      <c r="BD62" s="2">
        <f t="shared" si="46"/>
        <v>0</v>
      </c>
      <c r="BE62" s="2">
        <f t="shared" si="46"/>
        <v>0</v>
      </c>
      <c r="BF62" s="2">
        <f t="shared" si="46"/>
        <v>0</v>
      </c>
      <c r="BG62" s="2">
        <f t="shared" si="46"/>
        <v>0</v>
      </c>
      <c r="BH62" s="2">
        <f t="shared" si="46"/>
        <v>0</v>
      </c>
      <c r="BI62" s="2">
        <f t="shared" si="46"/>
        <v>0</v>
      </c>
      <c r="BJ62" s="2">
        <f t="shared" si="46"/>
        <v>0</v>
      </c>
      <c r="BK62" s="2">
        <f t="shared" si="46"/>
        <v>0</v>
      </c>
      <c r="BL62" s="2">
        <f t="shared" si="46"/>
        <v>0</v>
      </c>
      <c r="BM62" s="2">
        <f t="shared" si="46"/>
        <v>0</v>
      </c>
      <c r="BN62" s="2">
        <f t="shared" si="46"/>
        <v>0</v>
      </c>
      <c r="BO62" s="2">
        <f t="shared" si="46"/>
        <v>0</v>
      </c>
      <c r="BP62" s="2">
        <f t="shared" si="46"/>
        <v>0</v>
      </c>
      <c r="BQ62" s="2">
        <f t="shared" ref="BQ62:BX62" si="47">SUM(BQ61:BQ61)</f>
        <v>0</v>
      </c>
      <c r="BR62" s="2">
        <f t="shared" si="47"/>
        <v>0</v>
      </c>
      <c r="BS62" s="2">
        <f>SUM(BS61:BS61)</f>
        <v>0</v>
      </c>
      <c r="BT62" s="2">
        <f>SUM(BT61:BT61)</f>
        <v>0</v>
      </c>
      <c r="BU62" s="2">
        <f>SUM(BU61:BU61)</f>
        <v>0</v>
      </c>
      <c r="BV62" s="2">
        <f>SUM(BV61:BV61)</f>
        <v>0</v>
      </c>
      <c r="BW62" s="2">
        <f t="shared" si="47"/>
        <v>0</v>
      </c>
      <c r="BX62" s="2">
        <f t="shared" si="47"/>
        <v>0</v>
      </c>
    </row>
    <row r="63" spans="1:79">
      <c r="F63" s="1"/>
      <c r="G63" s="4"/>
    </row>
    <row r="64" spans="1:79">
      <c r="A64" s="5">
        <v>597</v>
      </c>
      <c r="B64" s="5" t="s">
        <v>55</v>
      </c>
      <c r="C64" s="5" t="s">
        <v>57</v>
      </c>
      <c r="D64" s="32" t="s">
        <v>104</v>
      </c>
      <c r="E64" s="29">
        <v>40084</v>
      </c>
      <c r="F64" s="1" t="s">
        <v>51</v>
      </c>
      <c r="G64" s="21">
        <v>47757</v>
      </c>
      <c r="H64" s="5">
        <f>195000*0.268276</f>
        <v>52313.82</v>
      </c>
      <c r="I64" s="5">
        <f>(21375*2)*0.268276</f>
        <v>11468.799000000001</v>
      </c>
      <c r="J64" s="5">
        <f>SUM(H64:I64)</f>
        <v>63782.618999999999</v>
      </c>
      <c r="K64" s="5">
        <f>200000*0.268276</f>
        <v>53655.200000000004</v>
      </c>
      <c r="L64" s="5">
        <f>(18937.5*2)*0.268276</f>
        <v>10160.953500000001</v>
      </c>
      <c r="M64" s="5">
        <f>SUM(K64:L64)</f>
        <v>63816.153500000008</v>
      </c>
      <c r="N64" s="5">
        <f>205000*0.268276</f>
        <v>54996.58</v>
      </c>
      <c r="O64" s="5">
        <f>(16437.5*2)*0.268276</f>
        <v>8819.5735000000004</v>
      </c>
      <c r="P64" s="5">
        <f>SUM(N64:O64)</f>
        <v>63816.1535</v>
      </c>
      <c r="Q64" s="5">
        <f>210000*0.268276</f>
        <v>56337.960000000006</v>
      </c>
      <c r="R64" s="5">
        <f>(13875*2)*0.268276</f>
        <v>7444.6590000000006</v>
      </c>
      <c r="S64" s="5">
        <f>SUM(Q64:R64)</f>
        <v>63782.619000000006</v>
      </c>
      <c r="T64" s="5">
        <f>215000*0.268276</f>
        <v>57679.340000000004</v>
      </c>
      <c r="U64" s="5">
        <f>(11250*2)*0.268276</f>
        <v>6036.21</v>
      </c>
      <c r="V64" s="5">
        <f>SUM(T64:U64)</f>
        <v>63715.55</v>
      </c>
      <c r="W64" s="5">
        <f>220000*0.268276</f>
        <v>59020.72</v>
      </c>
      <c r="X64" s="5">
        <f>(8562.5*2)*0.268276</f>
        <v>4594.2265000000007</v>
      </c>
      <c r="Y64" s="5">
        <f>SUM(W64:X64)</f>
        <v>63614.946500000005</v>
      </c>
      <c r="Z64" s="5">
        <f>230000*0.268276</f>
        <v>61703.48</v>
      </c>
      <c r="AA64" s="5">
        <f>(5812.5*2)*0.268276</f>
        <v>3118.7085000000002</v>
      </c>
      <c r="AB64" s="5">
        <f>SUM(Z64:AA64)</f>
        <v>64822.188500000004</v>
      </c>
      <c r="AC64" s="5">
        <f>235000*0.268276</f>
        <v>63044.86</v>
      </c>
      <c r="AD64" s="5">
        <f>(2937.5*2)*0.268276</f>
        <v>1576.1215000000002</v>
      </c>
      <c r="AE64" s="5">
        <f>SUM(AC64:AD64)</f>
        <v>64620.981500000002</v>
      </c>
      <c r="AF64" s="5">
        <v>-33333</v>
      </c>
      <c r="AG64" s="5">
        <v>0</v>
      </c>
      <c r="AH64" s="5">
        <f>SUM(AF64:AG64)</f>
        <v>-33333</v>
      </c>
      <c r="AI64" s="5">
        <v>0</v>
      </c>
      <c r="AK64" s="5">
        <f>SUM(AI64:AJ64)</f>
        <v>0</v>
      </c>
      <c r="AN64" s="5">
        <f>SUM(AL64:AM64)</f>
        <v>0</v>
      </c>
      <c r="AO64" s="5">
        <v>0</v>
      </c>
      <c r="AQ64" s="5">
        <f>SUM(AO64:AP64)</f>
        <v>0</v>
      </c>
      <c r="AR64" s="5">
        <v>0</v>
      </c>
      <c r="BV64" s="5">
        <f>+AO64+Z64+T64+Q64+N64+K64+AC64+AF64+AI64+AL64+W64+AR64+AU64+AX64+BA64+BD64+BG64+BJ64+BM64+BP64+BS64</f>
        <v>373105.14</v>
      </c>
      <c r="BW64" s="5">
        <f>+AP64+AA64+U64+R64+O64+L64+AD64+AG64+AJ64+AM64+X64+AS64+AV64+AY64+BB64++BE64+BH64+BK64++BN64+BQ64+BT64</f>
        <v>41750.452499999999</v>
      </c>
      <c r="BX64" s="4">
        <f>SUM(BV64:BW64)</f>
        <v>414855.59250000003</v>
      </c>
      <c r="BY64" s="5" t="s">
        <v>2</v>
      </c>
    </row>
    <row r="65" spans="1:80">
      <c r="A65" s="5">
        <v>597</v>
      </c>
      <c r="B65" s="5" t="s">
        <v>55</v>
      </c>
      <c r="C65" s="5" t="s">
        <v>57</v>
      </c>
      <c r="D65" s="32" t="s">
        <v>104</v>
      </c>
      <c r="E65" s="29">
        <v>41732</v>
      </c>
      <c r="F65" s="1" t="s">
        <v>62</v>
      </c>
      <c r="G65" s="21">
        <v>45383</v>
      </c>
      <c r="H65" s="5">
        <f>300000*0.27459</f>
        <v>82377</v>
      </c>
      <c r="I65" s="5">
        <f>(15768.75+15768.75)*0.27459</f>
        <v>8659.8821250000001</v>
      </c>
      <c r="J65" s="5">
        <f>SUM(H65:I65)</f>
        <v>91036.882125000004</v>
      </c>
      <c r="K65" s="5">
        <f>315000*0.27459</f>
        <v>86495.85</v>
      </c>
      <c r="L65" s="5">
        <f>(8268.75+8268.75)*0.27459</f>
        <v>4541.0321249999997</v>
      </c>
      <c r="M65" s="5">
        <f>SUM(K65:L65)</f>
        <v>91036.882125000004</v>
      </c>
      <c r="N65" s="5">
        <v>0</v>
      </c>
      <c r="O65" s="5">
        <v>0</v>
      </c>
      <c r="P65" s="5">
        <f>SUM(N65:O65)</f>
        <v>0</v>
      </c>
      <c r="Q65" s="5">
        <v>0</v>
      </c>
      <c r="R65" s="5">
        <v>0</v>
      </c>
      <c r="S65" s="5">
        <f>SUM(Q65:R65)</f>
        <v>0</v>
      </c>
      <c r="T65" s="5">
        <v>0</v>
      </c>
      <c r="U65" s="5">
        <v>0</v>
      </c>
      <c r="V65" s="5">
        <f>SUM(T65:U65)</f>
        <v>0</v>
      </c>
      <c r="W65" s="5">
        <v>0</v>
      </c>
      <c r="X65" s="5">
        <v>0</v>
      </c>
      <c r="Y65" s="5">
        <f>SUM(W65:X65)</f>
        <v>0</v>
      </c>
      <c r="Z65" s="5">
        <v>0</v>
      </c>
      <c r="AA65" s="5">
        <v>0</v>
      </c>
      <c r="AB65" s="5">
        <f>SUM(Z65:AA65)</f>
        <v>0</v>
      </c>
      <c r="AC65" s="5">
        <v>0</v>
      </c>
      <c r="AD65" s="5">
        <v>0</v>
      </c>
      <c r="AE65" s="5">
        <f>SUM(AC65:AD65)</f>
        <v>0</v>
      </c>
      <c r="AF65" s="5">
        <v>0</v>
      </c>
      <c r="AG65" s="5">
        <v>0</v>
      </c>
      <c r="AH65" s="5">
        <f>SUM(AF65:AG65)</f>
        <v>0</v>
      </c>
      <c r="AI65" s="5">
        <v>0</v>
      </c>
      <c r="AJ65" s="5">
        <v>0</v>
      </c>
      <c r="AK65" s="5">
        <f>SUM(AI65:AJ65)</f>
        <v>0</v>
      </c>
      <c r="AL65" s="5">
        <v>0</v>
      </c>
      <c r="AM65" s="5">
        <v>0</v>
      </c>
      <c r="AN65" s="5">
        <f>SUM(AL65:AM65)</f>
        <v>0</v>
      </c>
      <c r="AO65" s="5">
        <v>0</v>
      </c>
      <c r="AP65" s="5">
        <v>0</v>
      </c>
      <c r="AQ65" s="5">
        <f>SUM(AO65:AP65)</f>
        <v>0</v>
      </c>
      <c r="AR65" s="5">
        <v>0</v>
      </c>
      <c r="AS65" s="5">
        <v>0</v>
      </c>
      <c r="AT65" s="5">
        <f>SUM(AR65:AS65)</f>
        <v>0</v>
      </c>
      <c r="AU65" s="5">
        <v>0</v>
      </c>
      <c r="AV65" s="5">
        <v>0</v>
      </c>
      <c r="AW65" s="5">
        <f>SUM(AU65:AV65)</f>
        <v>0</v>
      </c>
      <c r="AX65" s="5">
        <v>0</v>
      </c>
      <c r="AY65" s="5">
        <v>0</v>
      </c>
      <c r="AZ65" s="5">
        <f>SUM(AX65:AY65)</f>
        <v>0</v>
      </c>
      <c r="BA65" s="5">
        <v>0</v>
      </c>
      <c r="BB65" s="5">
        <v>0</v>
      </c>
      <c r="BC65" s="5">
        <f>SUM(BA65:BB65)</f>
        <v>0</v>
      </c>
      <c r="BD65" s="5">
        <v>0</v>
      </c>
      <c r="BE65" s="5">
        <v>0</v>
      </c>
      <c r="BF65" s="5">
        <f>SUM(BD65:BE65)</f>
        <v>0</v>
      </c>
      <c r="BG65" s="5">
        <v>0</v>
      </c>
      <c r="BH65" s="5">
        <v>0</v>
      </c>
      <c r="BI65" s="5">
        <f>SUM(BG65:BH65)</f>
        <v>0</v>
      </c>
      <c r="BJ65" s="5">
        <v>0</v>
      </c>
      <c r="BK65" s="5">
        <v>0</v>
      </c>
      <c r="BL65" s="5">
        <f>SUM(BJ65:BK65)</f>
        <v>0</v>
      </c>
      <c r="BM65" s="5">
        <v>0</v>
      </c>
      <c r="BN65" s="5">
        <v>0</v>
      </c>
      <c r="BO65" s="5">
        <f>SUM(BM65:BN65)</f>
        <v>0</v>
      </c>
      <c r="BP65" s="5">
        <v>0</v>
      </c>
      <c r="BQ65" s="5">
        <v>0</v>
      </c>
      <c r="BR65" s="5">
        <f>SUM(BP65:BQ65)</f>
        <v>0</v>
      </c>
      <c r="BS65" s="5">
        <v>0</v>
      </c>
      <c r="BT65" s="5">
        <v>0</v>
      </c>
      <c r="BU65" s="5">
        <f>SUM(BS65:BT65)</f>
        <v>0</v>
      </c>
      <c r="BV65" s="5">
        <f>+AO65+Z65+T65+Q65+N65+K65+AC65+AF65+AI65+AL65+W65+AR65+AU65+AX65+BA65+BD65+BG65+BJ65+BM65+BP65+BS65+1</f>
        <v>86496.85</v>
      </c>
      <c r="BW65" s="5">
        <f>+AP65+AA65+U65+R65+O65+L65+AD65+AG65+AJ65+AM65+X65+AS65+AV65+AY65+BB65++BE65+BH65+BK65++BN65+BQ65+BT65</f>
        <v>4541.0321249999997</v>
      </c>
      <c r="BX65" s="4">
        <f>SUM(BV65:BW65)</f>
        <v>91037.882125000004</v>
      </c>
      <c r="BY65" s="5" t="s">
        <v>2</v>
      </c>
    </row>
    <row r="66" spans="1:80" ht="26.4">
      <c r="A66" s="5">
        <v>597</v>
      </c>
      <c r="B66" s="5" t="s">
        <v>55</v>
      </c>
      <c r="C66" s="5" t="s">
        <v>58</v>
      </c>
      <c r="D66" s="32" t="s">
        <v>104</v>
      </c>
      <c r="E66" s="29">
        <v>41548</v>
      </c>
      <c r="F66" s="10" t="s">
        <v>60</v>
      </c>
      <c r="G66" s="21">
        <v>45107</v>
      </c>
      <c r="H66" s="6">
        <v>56360</v>
      </c>
      <c r="I66" s="6">
        <v>0</v>
      </c>
      <c r="J66" s="6">
        <f>SUM(H66:I66)</f>
        <v>56360</v>
      </c>
      <c r="K66" s="6">
        <v>0</v>
      </c>
      <c r="L66" s="6">
        <v>0</v>
      </c>
      <c r="M66" s="6">
        <f>SUM(K66:L66)</f>
        <v>0</v>
      </c>
      <c r="N66" s="6">
        <v>0</v>
      </c>
      <c r="O66" s="6">
        <v>0</v>
      </c>
      <c r="P66" s="6">
        <f>SUM(N66:O66)</f>
        <v>0</v>
      </c>
      <c r="Q66" s="6">
        <v>0</v>
      </c>
      <c r="R66" s="6">
        <v>0</v>
      </c>
      <c r="S66" s="6">
        <f>SUM(Q66:R66)</f>
        <v>0</v>
      </c>
      <c r="T66" s="6">
        <v>0</v>
      </c>
      <c r="U66" s="6">
        <v>0</v>
      </c>
      <c r="V66" s="6">
        <f>SUM(T66:U66)</f>
        <v>0</v>
      </c>
      <c r="W66" s="6">
        <v>0</v>
      </c>
      <c r="X66" s="6">
        <v>0</v>
      </c>
      <c r="Y66" s="6">
        <f>SUM(W66:X66)</f>
        <v>0</v>
      </c>
      <c r="Z66" s="6">
        <v>0</v>
      </c>
      <c r="AA66" s="6">
        <v>0</v>
      </c>
      <c r="AB66" s="6">
        <f>SUM(Z66:AA66)</f>
        <v>0</v>
      </c>
      <c r="AC66" s="6">
        <v>0</v>
      </c>
      <c r="AD66" s="6">
        <v>0</v>
      </c>
      <c r="AE66" s="6">
        <f>SUM(AC66:AD66)</f>
        <v>0</v>
      </c>
      <c r="AF66" s="6">
        <v>0</v>
      </c>
      <c r="AG66" s="6">
        <v>0</v>
      </c>
      <c r="AH66" s="6">
        <f>SUM(AF66:AG66)</f>
        <v>0</v>
      </c>
      <c r="AI66" s="6"/>
      <c r="AJ66" s="6"/>
      <c r="AK66" s="6">
        <f>SUM(AI66:AJ66)</f>
        <v>0</v>
      </c>
      <c r="AL66" s="6"/>
      <c r="AM66" s="6"/>
      <c r="AN66" s="6">
        <f>SUM(AL66:AM66)</f>
        <v>0</v>
      </c>
      <c r="AO66" s="6"/>
      <c r="AP66" s="6"/>
      <c r="AQ66" s="6">
        <f>SUM(AO66:AP66)</f>
        <v>0</v>
      </c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>
        <f>+AO66+Z66+T66+Q66+N66+K66+AC66+AF66+AI66+AL66+W66+AR66+AU66+AX66+BA66+BD66+BG66+BJ66+BM66+BP66+BS66</f>
        <v>0</v>
      </c>
      <c r="BW66" s="6">
        <f>+AP66+AA66+U66+R66+O66+L66+AD66+AG66+AJ66+AM66+X66+AS66+AV66+AY66+BB66++BE66+BH66+BK66++BN66+BQ66+BT66</f>
        <v>0</v>
      </c>
      <c r="BX66" s="3">
        <f>SUM(BV66:BW66)</f>
        <v>0</v>
      </c>
      <c r="BY66" s="5" t="s">
        <v>2</v>
      </c>
    </row>
    <row r="67" spans="1:80" s="7" customFormat="1">
      <c r="D67" s="39"/>
      <c r="F67" s="2" t="s">
        <v>118</v>
      </c>
      <c r="G67" s="8"/>
      <c r="H67" s="8">
        <f t="shared" ref="H67:AQ67" si="48">SUM(H64:H66)</f>
        <v>191050.82</v>
      </c>
      <c r="I67" s="8">
        <f t="shared" si="48"/>
        <v>20128.681125000003</v>
      </c>
      <c r="J67" s="8">
        <f t="shared" si="48"/>
        <v>211179.50112500001</v>
      </c>
      <c r="K67" s="8">
        <f t="shared" si="48"/>
        <v>140151.05000000002</v>
      </c>
      <c r="L67" s="8">
        <f t="shared" si="48"/>
        <v>14701.985625000001</v>
      </c>
      <c r="M67" s="8">
        <f t="shared" si="48"/>
        <v>154853.03562500002</v>
      </c>
      <c r="N67" s="8">
        <f t="shared" si="48"/>
        <v>54996.58</v>
      </c>
      <c r="O67" s="8">
        <f t="shared" si="48"/>
        <v>8819.5735000000004</v>
      </c>
      <c r="P67" s="8">
        <f t="shared" si="48"/>
        <v>63816.1535</v>
      </c>
      <c r="Q67" s="8">
        <f t="shared" si="48"/>
        <v>56337.960000000006</v>
      </c>
      <c r="R67" s="8">
        <f t="shared" si="48"/>
        <v>7444.6590000000006</v>
      </c>
      <c r="S67" s="8">
        <f t="shared" si="48"/>
        <v>63782.619000000006</v>
      </c>
      <c r="T67" s="8">
        <f t="shared" si="48"/>
        <v>57679.340000000004</v>
      </c>
      <c r="U67" s="8">
        <f t="shared" si="48"/>
        <v>6036.21</v>
      </c>
      <c r="V67" s="8">
        <f t="shared" si="48"/>
        <v>63715.55</v>
      </c>
      <c r="W67" s="8">
        <f t="shared" si="48"/>
        <v>59020.72</v>
      </c>
      <c r="X67" s="8">
        <f t="shared" si="48"/>
        <v>4594.2265000000007</v>
      </c>
      <c r="Y67" s="8">
        <f t="shared" si="48"/>
        <v>63614.946500000005</v>
      </c>
      <c r="Z67" s="8">
        <f t="shared" si="48"/>
        <v>61703.48</v>
      </c>
      <c r="AA67" s="8">
        <f t="shared" si="48"/>
        <v>3118.7085000000002</v>
      </c>
      <c r="AB67" s="8">
        <f t="shared" si="48"/>
        <v>64822.188500000004</v>
      </c>
      <c r="AC67" s="8">
        <f t="shared" si="48"/>
        <v>63044.86</v>
      </c>
      <c r="AD67" s="8">
        <f t="shared" si="48"/>
        <v>1576.1215000000002</v>
      </c>
      <c r="AE67" s="8">
        <f t="shared" si="48"/>
        <v>64620.981500000002</v>
      </c>
      <c r="AF67" s="8">
        <f t="shared" si="48"/>
        <v>-33333</v>
      </c>
      <c r="AG67" s="8">
        <f t="shared" si="48"/>
        <v>0</v>
      </c>
      <c r="AH67" s="8">
        <f t="shared" si="48"/>
        <v>-33333</v>
      </c>
      <c r="AI67" s="8">
        <f t="shared" si="48"/>
        <v>0</v>
      </c>
      <c r="AJ67" s="8">
        <f t="shared" si="48"/>
        <v>0</v>
      </c>
      <c r="AK67" s="8">
        <f t="shared" si="48"/>
        <v>0</v>
      </c>
      <c r="AL67" s="8">
        <f t="shared" si="48"/>
        <v>0</v>
      </c>
      <c r="AM67" s="8">
        <f t="shared" si="48"/>
        <v>0</v>
      </c>
      <c r="AN67" s="8">
        <f t="shared" si="48"/>
        <v>0</v>
      </c>
      <c r="AO67" s="8">
        <f t="shared" si="48"/>
        <v>0</v>
      </c>
      <c r="AP67" s="8">
        <f t="shared" si="48"/>
        <v>0</v>
      </c>
      <c r="AQ67" s="8">
        <f t="shared" si="48"/>
        <v>0</v>
      </c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>
        <f>SUM(BV64:BV66)</f>
        <v>459601.99</v>
      </c>
      <c r="BW67" s="8">
        <f>SUM(BW64:BW66)</f>
        <v>46291.484624999997</v>
      </c>
      <c r="BX67" s="8">
        <f>SUM(BX64:BX66)</f>
        <v>505893.47462500003</v>
      </c>
    </row>
    <row r="68" spans="1:80" ht="12" customHeight="1">
      <c r="F68" s="1"/>
      <c r="G68" s="4"/>
      <c r="H68" s="3" t="s">
        <v>2</v>
      </c>
      <c r="I68" s="3" t="s">
        <v>2</v>
      </c>
      <c r="J68" s="6" t="s">
        <v>2</v>
      </c>
      <c r="K68" s="3" t="s">
        <v>2</v>
      </c>
      <c r="L68" s="3" t="s">
        <v>2</v>
      </c>
      <c r="M68" s="6" t="s">
        <v>2</v>
      </c>
      <c r="N68" s="3" t="s">
        <v>2</v>
      </c>
      <c r="O68" s="3" t="s">
        <v>2</v>
      </c>
      <c r="P68" s="6" t="s">
        <v>2</v>
      </c>
      <c r="Q68" s="3" t="s">
        <v>2</v>
      </c>
      <c r="R68" s="3" t="s">
        <v>2</v>
      </c>
      <c r="S68" s="6" t="s">
        <v>2</v>
      </c>
      <c r="T68" s="3" t="s">
        <v>2</v>
      </c>
      <c r="U68" s="3" t="s">
        <v>2</v>
      </c>
      <c r="V68" s="6" t="s">
        <v>2</v>
      </c>
      <c r="W68" s="3" t="s">
        <v>2</v>
      </c>
      <c r="X68" s="3" t="s">
        <v>2</v>
      </c>
      <c r="Y68" s="6" t="s">
        <v>2</v>
      </c>
      <c r="Z68" s="3" t="s">
        <v>2</v>
      </c>
      <c r="AA68" s="3" t="s">
        <v>2</v>
      </c>
      <c r="AB68" s="6" t="s">
        <v>2</v>
      </c>
      <c r="AC68" s="3" t="s">
        <v>2</v>
      </c>
      <c r="AD68" s="3" t="s">
        <v>2</v>
      </c>
      <c r="AE68" s="6" t="s">
        <v>2</v>
      </c>
      <c r="AF68" s="3" t="s">
        <v>2</v>
      </c>
      <c r="AG68" s="3" t="s">
        <v>2</v>
      </c>
      <c r="AH68" s="6" t="s">
        <v>2</v>
      </c>
      <c r="AI68" s="3" t="s">
        <v>2</v>
      </c>
      <c r="AJ68" s="3" t="s">
        <v>2</v>
      </c>
      <c r="AK68" s="6" t="s">
        <v>2</v>
      </c>
      <c r="AL68" s="3" t="s">
        <v>2</v>
      </c>
      <c r="AM68" s="3" t="s">
        <v>2</v>
      </c>
      <c r="AN68" s="6" t="s">
        <v>2</v>
      </c>
      <c r="AO68" s="3" t="s">
        <v>2</v>
      </c>
      <c r="AP68" s="3" t="s">
        <v>2</v>
      </c>
      <c r="AQ68" s="6" t="s">
        <v>2</v>
      </c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 t="s">
        <v>2</v>
      </c>
      <c r="BW68" s="3" t="s">
        <v>2</v>
      </c>
      <c r="BX68" s="3"/>
      <c r="BY68" s="1"/>
      <c r="BZ68" s="1"/>
      <c r="CA68" s="1"/>
      <c r="CB68" s="1"/>
    </row>
    <row r="69" spans="1:80" s="7" customFormat="1">
      <c r="D69" s="39"/>
      <c r="F69" s="43" t="s">
        <v>123</v>
      </c>
      <c r="G69" s="42"/>
      <c r="H69" s="42">
        <f>H41+H59+H62+H67</f>
        <v>1507746.1300000001</v>
      </c>
      <c r="I69" s="42">
        <f t="shared" ref="I69:BP69" si="49">I41+I59+I62+I67</f>
        <v>816618.51588099985</v>
      </c>
      <c r="J69" s="42">
        <f t="shared" si="49"/>
        <v>2324364.6458809995</v>
      </c>
      <c r="K69" s="42">
        <f>K41+K59+K62+K67</f>
        <v>2051045.45</v>
      </c>
      <c r="L69" s="42">
        <f t="shared" si="49"/>
        <v>765787.20538499998</v>
      </c>
      <c r="M69" s="42">
        <f t="shared" si="49"/>
        <v>2816832.6553849997</v>
      </c>
      <c r="N69" s="42">
        <f t="shared" si="49"/>
        <v>1400579.78</v>
      </c>
      <c r="O69" s="42">
        <f t="shared" si="49"/>
        <v>714073.78535800008</v>
      </c>
      <c r="P69" s="42">
        <f t="shared" si="49"/>
        <v>2114653.5653579999</v>
      </c>
      <c r="Q69" s="42">
        <f t="shared" si="49"/>
        <v>1448755.96</v>
      </c>
      <c r="R69" s="42">
        <f t="shared" si="49"/>
        <v>665404.03905799997</v>
      </c>
      <c r="S69" s="42">
        <f t="shared" si="49"/>
        <v>2114159.9990580003</v>
      </c>
      <c r="T69" s="42">
        <f t="shared" si="49"/>
        <v>1533181.1400000001</v>
      </c>
      <c r="U69" s="42">
        <f t="shared" si="49"/>
        <v>615159.50910999998</v>
      </c>
      <c r="V69" s="42">
        <f t="shared" si="49"/>
        <v>2148234.6491099996</v>
      </c>
      <c r="W69" s="42">
        <f t="shared" si="49"/>
        <v>1537074.32</v>
      </c>
      <c r="X69" s="42">
        <f t="shared" si="49"/>
        <v>561604.09325999999</v>
      </c>
      <c r="Y69" s="42">
        <f t="shared" si="49"/>
        <v>2098678.4132600003</v>
      </c>
      <c r="Z69" s="42">
        <f t="shared" si="49"/>
        <v>1209851.48</v>
      </c>
      <c r="AA69" s="42">
        <f t="shared" si="49"/>
        <v>515917.87836000003</v>
      </c>
      <c r="AB69" s="42">
        <f t="shared" si="49"/>
        <v>1725616.35836</v>
      </c>
      <c r="AC69" s="42">
        <f t="shared" si="49"/>
        <v>1200204.2756000001</v>
      </c>
      <c r="AD69" s="42">
        <f t="shared" si="49"/>
        <v>477997.10549199994</v>
      </c>
      <c r="AE69" s="42">
        <f t="shared" si="49"/>
        <v>1677528.3810919998</v>
      </c>
      <c r="AF69" s="42">
        <f t="shared" si="49"/>
        <v>953130.50139999995</v>
      </c>
      <c r="AG69" s="42">
        <f t="shared" si="49"/>
        <v>440538.27101999999</v>
      </c>
      <c r="AH69" s="42">
        <f t="shared" si="49"/>
        <v>1393181.7724200001</v>
      </c>
      <c r="AI69" s="42">
        <f t="shared" si="49"/>
        <v>900936</v>
      </c>
      <c r="AJ69" s="42">
        <f t="shared" si="49"/>
        <v>408848.50371600001</v>
      </c>
      <c r="AK69" s="42">
        <f t="shared" si="49"/>
        <v>1309784.5037160001</v>
      </c>
      <c r="AL69" s="42">
        <f t="shared" si="49"/>
        <v>933308.85400000005</v>
      </c>
      <c r="AM69" s="42">
        <f t="shared" si="49"/>
        <v>377360.004816</v>
      </c>
      <c r="AN69" s="42">
        <f t="shared" si="49"/>
        <v>1309896.8588160002</v>
      </c>
      <c r="AO69" s="42">
        <f t="shared" si="49"/>
        <v>810144</v>
      </c>
      <c r="AP69" s="42">
        <f t="shared" si="49"/>
        <v>344577.49992000003</v>
      </c>
      <c r="AQ69" s="42">
        <f t="shared" si="49"/>
        <v>1154721.4999200001</v>
      </c>
      <c r="AR69" s="42">
        <f t="shared" si="49"/>
        <v>840137.92760000005</v>
      </c>
      <c r="AS69" s="42">
        <f t="shared" si="49"/>
        <v>314324.64522000001</v>
      </c>
      <c r="AT69" s="42">
        <f t="shared" si="49"/>
        <v>1153767.5728200001</v>
      </c>
      <c r="AU69" s="42">
        <f t="shared" si="49"/>
        <v>756891</v>
      </c>
      <c r="AV69" s="42">
        <f t="shared" si="49"/>
        <v>282789.76906800002</v>
      </c>
      <c r="AW69" s="42">
        <f t="shared" si="49"/>
        <v>1039680.769068</v>
      </c>
      <c r="AX69" s="42">
        <f t="shared" si="49"/>
        <v>790185.68779999996</v>
      </c>
      <c r="AY69" s="42">
        <f t="shared" si="49"/>
        <v>252159.86566800001</v>
      </c>
      <c r="AZ69" s="42">
        <f t="shared" si="49"/>
        <v>1041062.553468</v>
      </c>
      <c r="BA69" s="42">
        <f t="shared" si="49"/>
        <v>631179</v>
      </c>
      <c r="BB69" s="42">
        <f t="shared" si="49"/>
        <v>220103.4663</v>
      </c>
      <c r="BC69" s="42">
        <f t="shared" si="49"/>
        <v>851282.46629999997</v>
      </c>
      <c r="BD69" s="42">
        <f t="shared" si="49"/>
        <v>660861</v>
      </c>
      <c r="BE69" s="42">
        <f t="shared" si="49"/>
        <v>191342.13209999999</v>
      </c>
      <c r="BF69" s="42">
        <f t="shared" si="49"/>
        <v>852203.13210000005</v>
      </c>
      <c r="BG69" s="42">
        <f t="shared" si="49"/>
        <v>691416</v>
      </c>
      <c r="BH69" s="42">
        <f t="shared" si="49"/>
        <v>161153.79209999999</v>
      </c>
      <c r="BI69" s="42">
        <f t="shared" si="49"/>
        <v>852569.79210000008</v>
      </c>
      <c r="BJ69" s="42">
        <f t="shared" si="49"/>
        <v>723717</v>
      </c>
      <c r="BK69" s="42">
        <f t="shared" si="49"/>
        <v>129466.24920000001</v>
      </c>
      <c r="BL69" s="42">
        <f t="shared" si="49"/>
        <v>853183.24920000008</v>
      </c>
      <c r="BM69" s="42">
        <f t="shared" si="49"/>
        <v>756891</v>
      </c>
      <c r="BN69" s="42">
        <f t="shared" si="49"/>
        <v>96220.750500000009</v>
      </c>
      <c r="BO69" s="42">
        <f t="shared" si="49"/>
        <v>853111.75050000008</v>
      </c>
      <c r="BP69" s="42">
        <f t="shared" si="49"/>
        <v>797832</v>
      </c>
      <c r="BQ69" s="42">
        <f t="shared" ref="BQ69:BX69" si="50">BQ41+BQ59+BQ62+BQ67</f>
        <v>61345.098900000005</v>
      </c>
      <c r="BR69" s="42">
        <f t="shared" si="50"/>
        <v>854029.0989000001</v>
      </c>
      <c r="BS69" s="42">
        <f t="shared" si="50"/>
        <v>1429973</v>
      </c>
      <c r="BT69" s="42">
        <f t="shared" si="50"/>
        <v>190825.1415</v>
      </c>
      <c r="BU69" s="42">
        <f t="shared" si="50"/>
        <v>1619053.1415000001</v>
      </c>
      <c r="BV69" s="42">
        <f t="shared" si="50"/>
        <v>22057297.376399998</v>
      </c>
      <c r="BW69" s="42">
        <f t="shared" si="50"/>
        <v>7786998.8060510019</v>
      </c>
      <c r="BX69" s="42">
        <f t="shared" si="50"/>
        <v>29844295.182450999</v>
      </c>
      <c r="BY69" s="2"/>
      <c r="BZ69" s="2"/>
      <c r="CA69" s="2"/>
      <c r="CB69" s="2"/>
    </row>
    <row r="70" spans="1:80">
      <c r="F70" s="7"/>
    </row>
    <row r="71" spans="1:80">
      <c r="F71" s="7"/>
    </row>
    <row r="72" spans="1:80">
      <c r="F72" s="7"/>
    </row>
    <row r="73" spans="1:80" ht="16.8">
      <c r="F73" s="24" t="s">
        <v>66</v>
      </c>
      <c r="G73" s="1"/>
    </row>
    <row r="74" spans="1:80" ht="12.75" customHeight="1">
      <c r="A74" s="5">
        <v>373</v>
      </c>
      <c r="B74" s="5" t="s">
        <v>70</v>
      </c>
      <c r="C74" s="5" t="s">
        <v>57</v>
      </c>
      <c r="D74" s="32" t="s">
        <v>101</v>
      </c>
      <c r="E74" s="29">
        <v>42061</v>
      </c>
      <c r="F74" s="5" t="s">
        <v>75</v>
      </c>
      <c r="G74" s="21">
        <v>49065</v>
      </c>
      <c r="H74" s="5">
        <v>520000</v>
      </c>
      <c r="I74" s="5">
        <f>179212.5*2</f>
        <v>358425</v>
      </c>
      <c r="J74" s="5">
        <f>SUM(H74:I74)</f>
        <v>878425</v>
      </c>
      <c r="K74" s="5">
        <v>565000</v>
      </c>
      <c r="L74" s="5">
        <f>166212.5*2</f>
        <v>332425</v>
      </c>
      <c r="M74" s="5">
        <f>SUM(K74:L74)</f>
        <v>897425</v>
      </c>
      <c r="N74" s="5">
        <v>600000</v>
      </c>
      <c r="O74" s="5">
        <f>152087.5*2</f>
        <v>304175</v>
      </c>
      <c r="P74" s="5">
        <f>SUM(N74:O74)</f>
        <v>904175</v>
      </c>
      <c r="Q74" s="5">
        <v>655000</v>
      </c>
      <c r="R74" s="5">
        <f>141962.5*2</f>
        <v>283925</v>
      </c>
      <c r="S74" s="5">
        <f>SUM(Q74:R74)</f>
        <v>938925</v>
      </c>
      <c r="T74" s="5">
        <v>675000</v>
      </c>
      <c r="U74" s="5">
        <f>130500*2</f>
        <v>261000</v>
      </c>
      <c r="V74" s="5">
        <f>SUM(T74:U74)</f>
        <v>936000</v>
      </c>
      <c r="W74" s="5">
        <v>700000</v>
      </c>
      <c r="X74" s="5">
        <f>117000*2</f>
        <v>234000</v>
      </c>
      <c r="Y74" s="5">
        <f>SUM(W74:X74)</f>
        <v>934000</v>
      </c>
      <c r="Z74" s="5">
        <v>730000</v>
      </c>
      <c r="AA74" s="5">
        <f>103000*2</f>
        <v>206000</v>
      </c>
      <c r="AB74" s="5">
        <f>SUM(Z74:AA74)</f>
        <v>936000</v>
      </c>
      <c r="AC74" s="5">
        <v>345000</v>
      </c>
      <c r="AD74" s="5">
        <f>88400*2</f>
        <v>176800</v>
      </c>
      <c r="AE74" s="5">
        <f>SUM(AC74:AD74)</f>
        <v>521800</v>
      </c>
      <c r="AF74" s="5">
        <v>625000</v>
      </c>
      <c r="AG74" s="5">
        <f>81500*2</f>
        <v>163000</v>
      </c>
      <c r="AH74" s="5">
        <f>SUM(AF74:AG74)</f>
        <v>788000</v>
      </c>
      <c r="AI74" s="5">
        <v>835000</v>
      </c>
      <c r="AJ74" s="5">
        <f>65875*2</f>
        <v>131750</v>
      </c>
      <c r="AK74" s="5">
        <f>SUM(AI74:AJ74)</f>
        <v>966750</v>
      </c>
      <c r="AL74" s="5">
        <v>880000</v>
      </c>
      <c r="AM74" s="5">
        <f>45000*2</f>
        <v>90000</v>
      </c>
      <c r="AN74" s="5">
        <f>SUM(AL74:AM74)</f>
        <v>970000</v>
      </c>
      <c r="AO74" s="5">
        <v>920000</v>
      </c>
      <c r="AP74" s="5">
        <f>23000*2</f>
        <v>46000</v>
      </c>
      <c r="AQ74" s="5">
        <f>SUM(AO74:AP74)</f>
        <v>966000</v>
      </c>
      <c r="BV74" s="5">
        <f>+AO74+Z74+T74+Q74+N74+K74+AC74+AF74+AI74+AL74+W74+AR74+AU74+AX74+BA74+BD74+BG74+BJ74+BM74+BP74+BS74</f>
        <v>7530000</v>
      </c>
      <c r="BW74" s="5">
        <f>+AP74+AA74+U74+R74+O74+L74+AD74+AG74+AJ74+AM74+X74+AS74+AV74+AY74+BB74++BE74+BH74+BK74++BN74+BQ74+BT74</f>
        <v>2229075</v>
      </c>
      <c r="BX74" s="4">
        <f>SUM(BV74:BW74)</f>
        <v>9759075</v>
      </c>
    </row>
    <row r="75" spans="1:80" ht="12.75" customHeight="1">
      <c r="A75" s="5">
        <v>373</v>
      </c>
      <c r="B75" s="5" t="s">
        <v>70</v>
      </c>
      <c r="C75" s="5" t="s">
        <v>57</v>
      </c>
      <c r="D75" s="32" t="s">
        <v>101</v>
      </c>
      <c r="E75" s="29">
        <v>42795</v>
      </c>
      <c r="F75" s="5" t="s">
        <v>78</v>
      </c>
      <c r="G75" s="21">
        <v>47969</v>
      </c>
      <c r="H75" s="5">
        <v>0</v>
      </c>
      <c r="I75" s="5">
        <f>12905*2</f>
        <v>25810</v>
      </c>
      <c r="J75" s="5">
        <f>SUM(H75:I75)</f>
        <v>25810</v>
      </c>
      <c r="K75" s="5">
        <v>0</v>
      </c>
      <c r="L75" s="5">
        <f>12905*2</f>
        <v>25810</v>
      </c>
      <c r="M75" s="5">
        <f>SUM(K75:L75)</f>
        <v>25810</v>
      </c>
      <c r="N75" s="5">
        <v>0</v>
      </c>
      <c r="O75" s="5">
        <f>12905*2</f>
        <v>25810</v>
      </c>
      <c r="P75" s="5">
        <f>SUM(N75:O75)</f>
        <v>25810</v>
      </c>
      <c r="Q75" s="5">
        <v>0</v>
      </c>
      <c r="R75" s="5">
        <f>12905*2</f>
        <v>25810</v>
      </c>
      <c r="S75" s="5">
        <f>SUM(Q75:R75)</f>
        <v>25810</v>
      </c>
      <c r="T75" s="5">
        <v>0</v>
      </c>
      <c r="U75" s="5">
        <f>12905*2</f>
        <v>25810</v>
      </c>
      <c r="V75" s="5">
        <f>SUM(T75:U75)</f>
        <v>25810</v>
      </c>
      <c r="W75" s="5">
        <v>0</v>
      </c>
      <c r="X75" s="5">
        <f>12905*2</f>
        <v>25810</v>
      </c>
      <c r="Y75" s="5">
        <f>SUM(W75:X75)</f>
        <v>25810</v>
      </c>
      <c r="Z75" s="5">
        <v>0</v>
      </c>
      <c r="AA75" s="5">
        <f>12905*2</f>
        <v>25810</v>
      </c>
      <c r="AB75" s="5">
        <f>SUM(Z75:AA75)</f>
        <v>25810</v>
      </c>
      <c r="AC75" s="5">
        <v>410000</v>
      </c>
      <c r="AD75" s="5">
        <f>12905*2</f>
        <v>25810</v>
      </c>
      <c r="AE75" s="5">
        <f>SUM(AC75:AD75)</f>
        <v>435810</v>
      </c>
      <c r="AF75" s="5">
        <v>170000</v>
      </c>
      <c r="AG75" s="5">
        <f>3782.5*2</f>
        <v>7565</v>
      </c>
      <c r="AH75" s="5">
        <f>SUM(AF75:AG75)</f>
        <v>177565</v>
      </c>
      <c r="AK75" s="5">
        <f>SUM(AI75:AJ75)</f>
        <v>0</v>
      </c>
      <c r="AN75" s="5">
        <f>SUM(AL75:AM75)</f>
        <v>0</v>
      </c>
      <c r="AQ75" s="5">
        <f>SUM(AO75:AP75)</f>
        <v>0</v>
      </c>
      <c r="BV75" s="5">
        <f>+AO75+Z75+T75+Q75+N75+K75+AC75+AF75+AI75+AL75+W75+AR75+AU75+AX75+BA75+BD75+BG75+BJ75+BM75+BP75+BS75</f>
        <v>580000</v>
      </c>
      <c r="BW75" s="5">
        <f>+AP75+AA75+U75+R75+O75+L75+AD75+AG75+AJ75+AM75+X75+AS75+AV75+AY75+BB75++BE75+BH75+BK75++BN75+BQ75+BT75</f>
        <v>188235</v>
      </c>
      <c r="BX75" s="4">
        <f>SUM(BV75:BW75)</f>
        <v>768235</v>
      </c>
    </row>
    <row r="76" spans="1:80" ht="12.75" customHeight="1">
      <c r="E76" s="29"/>
      <c r="G76" s="21" t="s">
        <v>2</v>
      </c>
      <c r="H76" s="6">
        <v>0</v>
      </c>
      <c r="I76" s="6">
        <v>0</v>
      </c>
      <c r="J76" s="6">
        <f>SUM(H76:I76)</f>
        <v>0</v>
      </c>
      <c r="K76" s="6">
        <v>0</v>
      </c>
      <c r="L76" s="6">
        <v>0</v>
      </c>
      <c r="M76" s="6">
        <f>SUM(K76:L76)</f>
        <v>0</v>
      </c>
      <c r="N76" s="6">
        <v>0</v>
      </c>
      <c r="O76" s="6">
        <v>0</v>
      </c>
      <c r="P76" s="6">
        <f>SUM(N76:O76)</f>
        <v>0</v>
      </c>
      <c r="Q76" s="6">
        <v>0</v>
      </c>
      <c r="R76" s="6">
        <v>0</v>
      </c>
      <c r="S76" s="6">
        <f>SUM(Q76:R76)</f>
        <v>0</v>
      </c>
      <c r="T76" s="6">
        <v>0</v>
      </c>
      <c r="U76" s="6">
        <v>0</v>
      </c>
      <c r="V76" s="6">
        <f>SUM(T76:U76)</f>
        <v>0</v>
      </c>
      <c r="W76" s="6">
        <v>0</v>
      </c>
      <c r="X76" s="6">
        <v>0</v>
      </c>
      <c r="Y76" s="6">
        <f>SUM(W76:X76)</f>
        <v>0</v>
      </c>
      <c r="Z76" s="6">
        <v>0</v>
      </c>
      <c r="AA76" s="6">
        <v>0</v>
      </c>
      <c r="AB76" s="6">
        <f>SUM(Z76:AA76)</f>
        <v>0</v>
      </c>
      <c r="AC76" s="6">
        <v>0</v>
      </c>
      <c r="AD76" s="6">
        <v>0</v>
      </c>
      <c r="AE76" s="6">
        <f>SUM(AC76:AD76)</f>
        <v>0</v>
      </c>
      <c r="AF76" s="6">
        <v>0</v>
      </c>
      <c r="AG76" s="6">
        <v>0</v>
      </c>
      <c r="AH76" s="6">
        <f>SUM(AF76:AG76)</f>
        <v>0</v>
      </c>
      <c r="AI76" s="6"/>
      <c r="AJ76" s="6"/>
      <c r="AK76" s="6">
        <f>SUM(AI76:AJ76)</f>
        <v>0</v>
      </c>
      <c r="AL76" s="6"/>
      <c r="AM76" s="6"/>
      <c r="AN76" s="6">
        <f>SUM(AL76:AM76)</f>
        <v>0</v>
      </c>
      <c r="AO76" s="6"/>
      <c r="AP76" s="6"/>
      <c r="AQ76" s="6">
        <f>SUM(AO76:AP76)</f>
        <v>0</v>
      </c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>
        <f>+AO76+Z76+T76+Q76+N76+K76+AC76+AF76+AI76+AL76+W76+AR76+AU76+AX76+BA76+BD76+BG76+BJ76+BM76+BP76+BS76</f>
        <v>0</v>
      </c>
      <c r="BW76" s="6">
        <f>+AP76+AA76+U76+R76+O76+L76+AD76+AG76+AJ76+AM76+X76+AS76+AV76+AY76+BB76++BE76+BH76+BK76++BN76+BQ76+BT76</f>
        <v>0</v>
      </c>
      <c r="BX76" s="3">
        <f>SUM(BV76:BW76)</f>
        <v>0</v>
      </c>
    </row>
    <row r="77" spans="1:80" s="7" customFormat="1" ht="12.75" customHeight="1">
      <c r="D77" s="39"/>
      <c r="F77" s="7" t="s">
        <v>119</v>
      </c>
      <c r="G77" s="8"/>
      <c r="H77" s="8">
        <f>SUM(H74:H76)</f>
        <v>520000</v>
      </c>
      <c r="I77" s="8">
        <f>SUM(I74:I76)</f>
        <v>384235</v>
      </c>
      <c r="J77" s="7">
        <f>SUM(H77:I77)</f>
        <v>904235</v>
      </c>
      <c r="K77" s="8">
        <f>SUM(K74:K76)</f>
        <v>565000</v>
      </c>
      <c r="L77" s="8">
        <f>SUM(L74:L76)</f>
        <v>358235</v>
      </c>
      <c r="M77" s="7">
        <f>SUM(K77:L77)</f>
        <v>923235</v>
      </c>
      <c r="N77" s="8">
        <f>SUM(N74:N76)</f>
        <v>600000</v>
      </c>
      <c r="O77" s="8">
        <f>SUM(O74:O76)</f>
        <v>329985</v>
      </c>
      <c r="P77" s="7">
        <f>SUM(N77:O77)</f>
        <v>929985</v>
      </c>
      <c r="Q77" s="8">
        <f>SUM(Q74:Q76)</f>
        <v>655000</v>
      </c>
      <c r="R77" s="8">
        <f>SUM(R74:R76)</f>
        <v>309735</v>
      </c>
      <c r="S77" s="7">
        <f>SUM(Q77:R77)</f>
        <v>964735</v>
      </c>
      <c r="T77" s="8">
        <f>SUM(T74:T76)</f>
        <v>675000</v>
      </c>
      <c r="U77" s="8">
        <f>SUM(U74:U76)</f>
        <v>286810</v>
      </c>
      <c r="V77" s="7">
        <f>SUM(T77:U77)</f>
        <v>961810</v>
      </c>
      <c r="W77" s="8">
        <f>SUM(W74:W76)</f>
        <v>700000</v>
      </c>
      <c r="X77" s="8">
        <f>SUM(X74:X76)</f>
        <v>259810</v>
      </c>
      <c r="Y77" s="7">
        <f>SUM(W77:X77)</f>
        <v>959810</v>
      </c>
      <c r="Z77" s="8">
        <f>SUM(Z74:Z76)</f>
        <v>730000</v>
      </c>
      <c r="AA77" s="8">
        <f>SUM(AA74:AA76)</f>
        <v>231810</v>
      </c>
      <c r="AB77" s="7">
        <f>SUM(Z77:AA77)</f>
        <v>961810</v>
      </c>
      <c r="AC77" s="8">
        <f>SUM(AC74:AC76)</f>
        <v>755000</v>
      </c>
      <c r="AD77" s="8">
        <f>SUM(AD74:AD76)</f>
        <v>202610</v>
      </c>
      <c r="AE77" s="7">
        <f>SUM(AC77:AD77)</f>
        <v>957610</v>
      </c>
      <c r="AF77" s="8">
        <f>SUM(AF74:AF76)</f>
        <v>795000</v>
      </c>
      <c r="AG77" s="8">
        <f>SUM(AG74:AG76)</f>
        <v>170565</v>
      </c>
      <c r="AH77" s="7">
        <f>SUM(AF77:AG77)</f>
        <v>965565</v>
      </c>
      <c r="AI77" s="8">
        <f>SUM(AI74:AI76)</f>
        <v>835000</v>
      </c>
      <c r="AJ77" s="8">
        <f>SUM(AJ74:AJ76)</f>
        <v>131750</v>
      </c>
      <c r="AK77" s="7">
        <f>SUM(AI77:AJ77)</f>
        <v>966750</v>
      </c>
      <c r="AL77" s="8">
        <f>SUM(AL74:AL76)</f>
        <v>880000</v>
      </c>
      <c r="AM77" s="8">
        <f>SUM(AM74:AM76)</f>
        <v>90000</v>
      </c>
      <c r="AN77" s="7">
        <f>SUM(AL77:AM77)</f>
        <v>970000</v>
      </c>
      <c r="AO77" s="8">
        <f>SUM(AO74:AO76)</f>
        <v>920000</v>
      </c>
      <c r="AP77" s="8">
        <f>SUM(AP74:AP76)</f>
        <v>46000</v>
      </c>
      <c r="AQ77" s="7">
        <f>SUM(AO77:AP77)</f>
        <v>966000</v>
      </c>
      <c r="BV77" s="8">
        <f>SUM(BV74:BV76)</f>
        <v>8110000</v>
      </c>
      <c r="BW77" s="7">
        <f>SUM(BW74:BW76)</f>
        <v>2417310</v>
      </c>
      <c r="BX77" s="7">
        <f>SUM(BX74:BX76)</f>
        <v>10527310</v>
      </c>
    </row>
    <row r="78" spans="1:80" ht="12.75" customHeight="1">
      <c r="G78" s="4"/>
      <c r="J78" s="5">
        <f>SUM(H78:I78)</f>
        <v>0</v>
      </c>
      <c r="M78" s="5">
        <f>SUM(K78:L78)</f>
        <v>0</v>
      </c>
      <c r="P78" s="5">
        <f>SUM(N78:O78)</f>
        <v>0</v>
      </c>
      <c r="S78" s="5">
        <f>SUM(Q78:R78)</f>
        <v>0</v>
      </c>
      <c r="V78" s="5">
        <f>SUM(T78:U78)</f>
        <v>0</v>
      </c>
      <c r="Y78" s="5">
        <f>SUM(W78:X78)</f>
        <v>0</v>
      </c>
      <c r="AB78" s="5">
        <f>SUM(Z78:AA78)</f>
        <v>0</v>
      </c>
      <c r="AE78" s="5">
        <f>SUM(AC78:AD78)</f>
        <v>0</v>
      </c>
      <c r="AH78" s="5">
        <f>SUM(AF78:AG78)</f>
        <v>0</v>
      </c>
      <c r="AK78" s="5">
        <f>SUM(AI78:AJ78)</f>
        <v>0</v>
      </c>
      <c r="AN78" s="5">
        <f>SUM(AL78:AM78)</f>
        <v>0</v>
      </c>
      <c r="AQ78" s="5">
        <f>SUM(AO78:AP78)</f>
        <v>0</v>
      </c>
    </row>
    <row r="79" spans="1:80" ht="16.8">
      <c r="F79" s="19"/>
      <c r="G79" s="16"/>
    </row>
    <row r="80" spans="1:80">
      <c r="A80" s="5">
        <v>247</v>
      </c>
      <c r="B80" s="5" t="s">
        <v>69</v>
      </c>
      <c r="C80" s="5" t="s">
        <v>57</v>
      </c>
      <c r="D80" s="32" t="s">
        <v>101</v>
      </c>
      <c r="E80" s="29" t="s">
        <v>2</v>
      </c>
      <c r="F80" s="20" t="s">
        <v>2</v>
      </c>
      <c r="G80" s="21" t="s">
        <v>2</v>
      </c>
      <c r="J80" s="5">
        <f>SUM(H80:I80)</f>
        <v>0</v>
      </c>
      <c r="M80" s="5">
        <f>SUM(K80:L80)</f>
        <v>0</v>
      </c>
      <c r="P80" s="5">
        <f>SUM(N80:O80)</f>
        <v>0</v>
      </c>
      <c r="S80" s="5">
        <f>SUM(Q80:R80)</f>
        <v>0</v>
      </c>
      <c r="V80" s="5">
        <f>SUM(T80:U80)</f>
        <v>0</v>
      </c>
      <c r="Y80" s="5">
        <f>SUM(W80:X80)</f>
        <v>0</v>
      </c>
      <c r="AB80" s="5">
        <f>SUM(Z80:AA80)</f>
        <v>0</v>
      </c>
      <c r="AE80" s="5">
        <f>SUM(AC80:AD80)</f>
        <v>0</v>
      </c>
      <c r="AH80" s="5">
        <f>SUM(AF80:AG80)</f>
        <v>0</v>
      </c>
      <c r="AK80" s="5">
        <f>SUM(AI80:AJ80)</f>
        <v>0</v>
      </c>
      <c r="AN80" s="5">
        <f>SUM(AL80:AM80)</f>
        <v>0</v>
      </c>
      <c r="AQ80" s="5">
        <f>SUM(AO80:AP80)</f>
        <v>0</v>
      </c>
      <c r="BV80" s="5">
        <f>+AO80+Z80+T80+Q80+N80+K80+AC80+AF80+AI80+AL80+W80+AR80+AU80+AX80+BA80+BD80+BG80+BJ80+BM80+BP80+BS80</f>
        <v>0</v>
      </c>
      <c r="BW80" s="5">
        <f>+AP80+AA80+U80+R80+O80+L80+AD80+AG80+AJ80+AM80+X80+AS80+AV80+AY80+BB80++BE80+BH80+BK80++BN80+BQ80+BT80</f>
        <v>0</v>
      </c>
      <c r="BX80" s="4">
        <f>SUM(BV80:BW80)</f>
        <v>0</v>
      </c>
    </row>
    <row r="81" spans="1:79">
      <c r="A81" s="5">
        <v>247</v>
      </c>
      <c r="B81" s="5" t="s">
        <v>69</v>
      </c>
      <c r="C81" s="5" t="s">
        <v>57</v>
      </c>
      <c r="D81" s="32" t="s">
        <v>101</v>
      </c>
      <c r="E81" s="29" t="s">
        <v>2</v>
      </c>
      <c r="F81" s="20" t="s">
        <v>2</v>
      </c>
      <c r="G81" s="21" t="s">
        <v>2</v>
      </c>
      <c r="H81" s="6"/>
      <c r="I81" s="6"/>
      <c r="J81" s="6">
        <f>SUM(H81:I81)</f>
        <v>0</v>
      </c>
      <c r="K81" s="6"/>
      <c r="L81" s="6"/>
      <c r="M81" s="6">
        <f>SUM(K81:L81)</f>
        <v>0</v>
      </c>
      <c r="N81" s="6"/>
      <c r="O81" s="6"/>
      <c r="P81" s="6">
        <f>SUM(N81:O81)</f>
        <v>0</v>
      </c>
      <c r="Q81" s="6"/>
      <c r="R81" s="6"/>
      <c r="S81" s="6">
        <f>SUM(Q81:R81)</f>
        <v>0</v>
      </c>
      <c r="T81" s="6"/>
      <c r="U81" s="6"/>
      <c r="V81" s="6">
        <f>SUM(T81:U81)</f>
        <v>0</v>
      </c>
      <c r="W81" s="6"/>
      <c r="X81" s="6"/>
      <c r="Y81" s="6">
        <f>SUM(W81:X81)</f>
        <v>0</v>
      </c>
      <c r="Z81" s="6"/>
      <c r="AA81" s="6"/>
      <c r="AB81" s="6">
        <f>SUM(Z81:AA81)</f>
        <v>0</v>
      </c>
      <c r="AC81" s="6"/>
      <c r="AD81" s="6"/>
      <c r="AE81" s="6">
        <f>SUM(AC81:AD81)</f>
        <v>0</v>
      </c>
      <c r="AF81" s="6"/>
      <c r="AG81" s="6"/>
      <c r="AH81" s="6">
        <f>SUM(AF81:AG81)</f>
        <v>0</v>
      </c>
      <c r="AI81" s="6"/>
      <c r="AJ81" s="6"/>
      <c r="AK81" s="6">
        <f>SUM(AI81:AJ81)</f>
        <v>0</v>
      </c>
      <c r="AL81" s="6"/>
      <c r="AM81" s="6"/>
      <c r="AN81" s="6">
        <f>SUM(AL81:AM81)</f>
        <v>0</v>
      </c>
      <c r="AO81" s="6"/>
      <c r="AP81" s="6"/>
      <c r="AQ81" s="6">
        <f>SUM(AO81:AP81)</f>
        <v>0</v>
      </c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>
        <f>+AO81+Z81+T81+Q81+N81+K81+AC81+AF81+AI81+AL81+W81+AR81+AU81+AX81+BA81+BD81+BG81+BJ81+BM81+BP81+BS81</f>
        <v>0</v>
      </c>
      <c r="BW81" s="6">
        <f>+AP81+AA81+U81+R81+O81+L81+AD81+AG81+AJ81+AM81+X81+AS81+AV81+AY81+BB81++BE81+BH81+BK81++BN81+BQ81+BT81</f>
        <v>0</v>
      </c>
      <c r="BX81" s="3">
        <f>SUM(BV81:BW81)</f>
        <v>0</v>
      </c>
    </row>
    <row r="82" spans="1:79" s="7" customFormat="1">
      <c r="D82" s="39"/>
      <c r="F82" s="9" t="s">
        <v>42</v>
      </c>
      <c r="G82" s="2"/>
      <c r="H82" s="2">
        <f t="shared" ref="H82:AQ82" si="51">SUM(H79:H81)</f>
        <v>0</v>
      </c>
      <c r="I82" s="2">
        <f t="shared" si="51"/>
        <v>0</v>
      </c>
      <c r="J82" s="2">
        <f t="shared" si="51"/>
        <v>0</v>
      </c>
      <c r="K82" s="2">
        <f t="shared" si="51"/>
        <v>0</v>
      </c>
      <c r="L82" s="2">
        <f t="shared" si="51"/>
        <v>0</v>
      </c>
      <c r="M82" s="2">
        <f t="shared" si="51"/>
        <v>0</v>
      </c>
      <c r="N82" s="2">
        <f t="shared" si="51"/>
        <v>0</v>
      </c>
      <c r="O82" s="2">
        <f t="shared" si="51"/>
        <v>0</v>
      </c>
      <c r="P82" s="2">
        <f t="shared" si="51"/>
        <v>0</v>
      </c>
      <c r="Q82" s="2">
        <f t="shared" si="51"/>
        <v>0</v>
      </c>
      <c r="R82" s="2">
        <f t="shared" si="51"/>
        <v>0</v>
      </c>
      <c r="S82" s="2">
        <f t="shared" si="51"/>
        <v>0</v>
      </c>
      <c r="T82" s="2">
        <f t="shared" si="51"/>
        <v>0</v>
      </c>
      <c r="U82" s="2">
        <f t="shared" si="51"/>
        <v>0</v>
      </c>
      <c r="V82" s="2">
        <f t="shared" si="51"/>
        <v>0</v>
      </c>
      <c r="W82" s="2">
        <f t="shared" si="51"/>
        <v>0</v>
      </c>
      <c r="X82" s="2">
        <f t="shared" si="51"/>
        <v>0</v>
      </c>
      <c r="Y82" s="2">
        <f t="shared" si="51"/>
        <v>0</v>
      </c>
      <c r="Z82" s="2">
        <f t="shared" si="51"/>
        <v>0</v>
      </c>
      <c r="AA82" s="2">
        <f t="shared" si="51"/>
        <v>0</v>
      </c>
      <c r="AB82" s="2">
        <f t="shared" si="51"/>
        <v>0</v>
      </c>
      <c r="AC82" s="2">
        <f t="shared" si="51"/>
        <v>0</v>
      </c>
      <c r="AD82" s="2">
        <f t="shared" si="51"/>
        <v>0</v>
      </c>
      <c r="AE82" s="2">
        <f t="shared" si="51"/>
        <v>0</v>
      </c>
      <c r="AF82" s="2">
        <f t="shared" si="51"/>
        <v>0</v>
      </c>
      <c r="AG82" s="2">
        <f t="shared" si="51"/>
        <v>0</v>
      </c>
      <c r="AH82" s="2">
        <f t="shared" si="51"/>
        <v>0</v>
      </c>
      <c r="AI82" s="2">
        <f t="shared" si="51"/>
        <v>0</v>
      </c>
      <c r="AJ82" s="2">
        <f t="shared" si="51"/>
        <v>0</v>
      </c>
      <c r="AK82" s="2">
        <f t="shared" si="51"/>
        <v>0</v>
      </c>
      <c r="AL82" s="2">
        <f t="shared" si="51"/>
        <v>0</v>
      </c>
      <c r="AM82" s="2">
        <f t="shared" si="51"/>
        <v>0</v>
      </c>
      <c r="AN82" s="2">
        <f t="shared" si="51"/>
        <v>0</v>
      </c>
      <c r="AO82" s="2">
        <f t="shared" si="51"/>
        <v>0</v>
      </c>
      <c r="AP82" s="2">
        <f t="shared" si="51"/>
        <v>0</v>
      </c>
      <c r="AQ82" s="2">
        <f t="shared" si="51"/>
        <v>0</v>
      </c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>
        <f>SUM(BV79:BV81)</f>
        <v>0</v>
      </c>
      <c r="BW82" s="7">
        <f>SUM(BW79:BW81)</f>
        <v>0</v>
      </c>
      <c r="BX82" s="7">
        <f>SUM(BX80:BX81)</f>
        <v>0</v>
      </c>
    </row>
    <row r="83" spans="1:79" s="7" customFormat="1">
      <c r="D83" s="39"/>
      <c r="F83" s="9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</row>
    <row r="84" spans="1:79">
      <c r="A84" s="5">
        <v>243</v>
      </c>
      <c r="B84" s="5" t="s">
        <v>70</v>
      </c>
      <c r="C84" s="5" t="s">
        <v>57</v>
      </c>
      <c r="D84" s="32" t="s">
        <v>101</v>
      </c>
      <c r="E84" s="29">
        <v>42795</v>
      </c>
      <c r="F84" s="1" t="s">
        <v>80</v>
      </c>
      <c r="G84" s="21">
        <v>46813</v>
      </c>
      <c r="H84" s="1">
        <v>69817</v>
      </c>
      <c r="I84" s="1">
        <v>14008</v>
      </c>
      <c r="J84" s="4">
        <f>SUM(H84:I84)</f>
        <v>83825</v>
      </c>
      <c r="K84" s="1">
        <v>73035</v>
      </c>
      <c r="L84" s="1">
        <v>11348</v>
      </c>
      <c r="M84" s="4">
        <f>SUM(K84:L84)</f>
        <v>84383</v>
      </c>
      <c r="N84" s="1">
        <v>74286</v>
      </c>
      <c r="O84" s="1">
        <v>8721</v>
      </c>
      <c r="P84" s="4">
        <f>SUM(N84:O84)</f>
        <v>83007</v>
      </c>
      <c r="Q84" s="1">
        <v>0</v>
      </c>
      <c r="R84" s="1">
        <v>0</v>
      </c>
      <c r="S84" s="4">
        <f>SUM(Q84:R84)</f>
        <v>0</v>
      </c>
      <c r="T84" s="1">
        <v>0</v>
      </c>
      <c r="U84" s="1">
        <v>0</v>
      </c>
      <c r="V84" s="4">
        <f>SUM(T84:U84)</f>
        <v>0</v>
      </c>
      <c r="W84" s="1">
        <v>0</v>
      </c>
      <c r="X84" s="1">
        <v>0</v>
      </c>
      <c r="Y84" s="4">
        <f>SUM(W84:X84)</f>
        <v>0</v>
      </c>
      <c r="Z84" s="1"/>
      <c r="AA84" s="1"/>
      <c r="AB84" s="4">
        <f>SUM(Z84:AA84)</f>
        <v>0</v>
      </c>
      <c r="AC84" s="1"/>
      <c r="AD84" s="1"/>
      <c r="AE84" s="4">
        <f>SUM(AC84:AD84)</f>
        <v>0</v>
      </c>
      <c r="AF84" s="1"/>
      <c r="AG84" s="1"/>
      <c r="AH84" s="4">
        <f>SUM(AF84:AG84)</f>
        <v>0</v>
      </c>
      <c r="AI84" s="1"/>
      <c r="AJ84" s="1"/>
      <c r="AK84" s="4">
        <f>SUM(AI84:AJ84)</f>
        <v>0</v>
      </c>
      <c r="AL84" s="1"/>
      <c r="AM84" s="1"/>
      <c r="AN84" s="4">
        <f>SUM(AL84:AM84)</f>
        <v>0</v>
      </c>
      <c r="AO84" s="1"/>
      <c r="AP84" s="1"/>
      <c r="AQ84" s="4">
        <f>SUM(AO84:AP84)</f>
        <v>0</v>
      </c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5">
        <f>+AO84+Z84+T84+Q84+N84+K84+AC84+AF84+AI84+AL84+W84+AR84+AU84+AX84+BA84+BD84+BG84+BJ84+BM84+BP84+BS84</f>
        <v>147321</v>
      </c>
      <c r="BW84" s="5">
        <f>+AP84+AA84+U84+R84+O84+L84+AD84+AG84+AJ84+AM84+X84+AS84+AV84+AY84+BB84++BE84+BH84+BK84++BN84+BQ84+BT84</f>
        <v>20069</v>
      </c>
      <c r="BX84" s="4">
        <f>SUM(BV84:BW84)</f>
        <v>167390</v>
      </c>
    </row>
    <row r="85" spans="1:79">
      <c r="A85" s="5">
        <v>243</v>
      </c>
      <c r="B85" s="5" t="s">
        <v>70</v>
      </c>
      <c r="C85" s="5" t="s">
        <v>57</v>
      </c>
      <c r="D85" s="32" t="s">
        <v>101</v>
      </c>
      <c r="E85" s="29">
        <v>42795</v>
      </c>
      <c r="F85" s="1" t="s">
        <v>81</v>
      </c>
      <c r="G85" s="21">
        <v>46813</v>
      </c>
      <c r="H85" s="5">
        <v>12027</v>
      </c>
      <c r="I85" s="5">
        <v>2413</v>
      </c>
      <c r="J85" s="4">
        <f>SUM(H85:I85)</f>
        <v>14440</v>
      </c>
      <c r="K85" s="5">
        <v>16086</v>
      </c>
      <c r="L85" s="5">
        <v>2499</v>
      </c>
      <c r="M85" s="4">
        <f>SUM(K85:L85)</f>
        <v>18585</v>
      </c>
      <c r="N85" s="5">
        <v>15581</v>
      </c>
      <c r="O85" s="5">
        <v>1829</v>
      </c>
      <c r="P85" s="4">
        <f>SUM(N85:O85)</f>
        <v>17410</v>
      </c>
      <c r="Q85" s="5">
        <v>14070</v>
      </c>
      <c r="R85" s="5">
        <v>1809</v>
      </c>
      <c r="S85" s="4">
        <f>SUM(Q85:R85)</f>
        <v>15879</v>
      </c>
      <c r="T85" s="5">
        <v>14242</v>
      </c>
      <c r="U85" s="5">
        <v>1191</v>
      </c>
      <c r="V85" s="4">
        <f>SUM(T85:U85)</f>
        <v>15433</v>
      </c>
      <c r="W85" s="5">
        <v>18286</v>
      </c>
      <c r="X85" s="5">
        <v>741</v>
      </c>
      <c r="Y85" s="4">
        <f>SUM(W85:X85)</f>
        <v>19027</v>
      </c>
      <c r="AB85" s="4">
        <f>SUM(Z85:AA85)</f>
        <v>0</v>
      </c>
      <c r="AE85" s="4">
        <f>SUM(AC85:AD85)</f>
        <v>0</v>
      </c>
      <c r="AH85" s="4">
        <f>SUM(AF85:AG85)</f>
        <v>0</v>
      </c>
      <c r="AK85" s="4">
        <f>SUM(AI85:AJ85)</f>
        <v>0</v>
      </c>
      <c r="AN85" s="4">
        <f>SUM(AL85:AM85)</f>
        <v>0</v>
      </c>
      <c r="AQ85" s="4">
        <f>SUM(AO85:AP85)</f>
        <v>0</v>
      </c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5">
        <f>+AO85+Z85+T85+Q85+N85+K85+AC85+AF85+AI85+AL85+W85+AR85+AU85+AX85+BA85+BD85+BG85+BJ85+BM85+BP85+BS85</f>
        <v>78265</v>
      </c>
      <c r="BW85" s="5">
        <f>+AP85+AA85+U85+R85+O85+L85+AD85+AG85+AJ85+AM85+X85+AS85+AV85+AY85+BB85++BE85+BH85+BK85++BN85+BQ85+BT85</f>
        <v>8069</v>
      </c>
      <c r="BX85" s="4">
        <f>SUM(BV85:BW85)</f>
        <v>86334</v>
      </c>
    </row>
    <row r="86" spans="1:79">
      <c r="A86" s="5">
        <v>243</v>
      </c>
      <c r="B86" s="5" t="s">
        <v>70</v>
      </c>
      <c r="C86" s="5" t="s">
        <v>57</v>
      </c>
      <c r="D86" s="32" t="s">
        <v>101</v>
      </c>
      <c r="E86" s="29">
        <v>42795</v>
      </c>
      <c r="F86" s="1" t="s">
        <v>82</v>
      </c>
      <c r="G86" s="21">
        <v>46813</v>
      </c>
      <c r="H86" s="6">
        <v>123156</v>
      </c>
      <c r="I86" s="6">
        <v>24710</v>
      </c>
      <c r="J86" s="3">
        <f>SUM(H86:I86)</f>
        <v>147866</v>
      </c>
      <c r="K86" s="6">
        <v>130879</v>
      </c>
      <c r="L86" s="6">
        <v>20336</v>
      </c>
      <c r="M86" s="3">
        <f>SUM(K86:L86)</f>
        <v>151215</v>
      </c>
      <c r="N86" s="6">
        <v>135133</v>
      </c>
      <c r="O86" s="6">
        <v>15866</v>
      </c>
      <c r="P86" s="3">
        <f>SUM(N86:O86)</f>
        <v>150999</v>
      </c>
      <c r="Q86" s="6">
        <v>125930</v>
      </c>
      <c r="R86" s="6">
        <v>16192</v>
      </c>
      <c r="S86" s="3">
        <f>SUM(Q86:R86)</f>
        <v>142122</v>
      </c>
      <c r="T86" s="6">
        <v>135758</v>
      </c>
      <c r="U86" s="6">
        <v>11363</v>
      </c>
      <c r="V86" s="3">
        <f>SUM(T86:U86)</f>
        <v>147121</v>
      </c>
      <c r="W86" s="6">
        <v>141714</v>
      </c>
      <c r="X86" s="6">
        <v>5739</v>
      </c>
      <c r="Y86" s="3">
        <f>SUM(W86:X86)</f>
        <v>147453</v>
      </c>
      <c r="Z86" s="6"/>
      <c r="AA86" s="6"/>
      <c r="AB86" s="3">
        <f>SUM(Z86:AA86)</f>
        <v>0</v>
      </c>
      <c r="AC86" s="6"/>
      <c r="AD86" s="6"/>
      <c r="AE86" s="3">
        <f>SUM(AC86:AD86)</f>
        <v>0</v>
      </c>
      <c r="AF86" s="6"/>
      <c r="AG86" s="6"/>
      <c r="AH86" s="3">
        <f>SUM(AF86:AG86)</f>
        <v>0</v>
      </c>
      <c r="AI86" s="6"/>
      <c r="AJ86" s="6"/>
      <c r="AK86" s="3">
        <f>SUM(AI86:AJ86)</f>
        <v>0</v>
      </c>
      <c r="AL86" s="6"/>
      <c r="AM86" s="6"/>
      <c r="AN86" s="3">
        <f>SUM(AL86:AM86)</f>
        <v>0</v>
      </c>
      <c r="AO86" s="6"/>
      <c r="AP86" s="6"/>
      <c r="AQ86" s="3">
        <f>SUM(AO86:AP86)</f>
        <v>0</v>
      </c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6">
        <f>+AO86+Z86+T86+Q86+N86+K86+AC86+AF86+AI86+AL86+W86+AR86+AU86+AX86+BA86+BD86+BG86+BJ86+BM86+BP86+BS86</f>
        <v>669414</v>
      </c>
      <c r="BW86" s="6">
        <f>+AP86+AA86+U86+R86+O86+L86+AD86+AG86+AJ86+AM86+X86+AS86+AV86+AY86+BB86++BE86+BH86+BK86++BN86+BQ86+BT86</f>
        <v>69496</v>
      </c>
      <c r="BX86" s="3">
        <f>SUM(BV86:BW86)</f>
        <v>738910</v>
      </c>
    </row>
    <row r="87" spans="1:79" s="7" customFormat="1">
      <c r="D87" s="39"/>
      <c r="F87" s="2" t="s">
        <v>43</v>
      </c>
      <c r="G87" s="8"/>
      <c r="H87" s="8">
        <f t="shared" ref="H87:BX87" si="52">SUM(H84:H86)</f>
        <v>205000</v>
      </c>
      <c r="I87" s="8">
        <f t="shared" si="52"/>
        <v>41131</v>
      </c>
      <c r="J87" s="8">
        <f t="shared" si="52"/>
        <v>246131</v>
      </c>
      <c r="K87" s="8">
        <f t="shared" si="52"/>
        <v>220000</v>
      </c>
      <c r="L87" s="8">
        <f t="shared" si="52"/>
        <v>34183</v>
      </c>
      <c r="M87" s="8">
        <f t="shared" si="52"/>
        <v>254183</v>
      </c>
      <c r="N87" s="8">
        <f t="shared" si="52"/>
        <v>225000</v>
      </c>
      <c r="O87" s="8">
        <f t="shared" si="52"/>
        <v>26416</v>
      </c>
      <c r="P87" s="8">
        <f t="shared" si="52"/>
        <v>251416</v>
      </c>
      <c r="Q87" s="8">
        <f t="shared" si="52"/>
        <v>140000</v>
      </c>
      <c r="R87" s="8">
        <f t="shared" si="52"/>
        <v>18001</v>
      </c>
      <c r="S87" s="8">
        <f t="shared" si="52"/>
        <v>158001</v>
      </c>
      <c r="T87" s="8">
        <f t="shared" si="52"/>
        <v>150000</v>
      </c>
      <c r="U87" s="8">
        <f t="shared" si="52"/>
        <v>12554</v>
      </c>
      <c r="V87" s="8">
        <f t="shared" si="52"/>
        <v>162554</v>
      </c>
      <c r="W87" s="8">
        <f t="shared" si="52"/>
        <v>160000</v>
      </c>
      <c r="X87" s="8">
        <f t="shared" si="52"/>
        <v>6480</v>
      </c>
      <c r="Y87" s="8">
        <f t="shared" si="52"/>
        <v>166480</v>
      </c>
      <c r="Z87" s="8">
        <f t="shared" si="52"/>
        <v>0</v>
      </c>
      <c r="AA87" s="8">
        <f t="shared" si="52"/>
        <v>0</v>
      </c>
      <c r="AB87" s="8">
        <f t="shared" si="52"/>
        <v>0</v>
      </c>
      <c r="AC87" s="8">
        <f t="shared" si="52"/>
        <v>0</v>
      </c>
      <c r="AD87" s="8">
        <f t="shared" si="52"/>
        <v>0</v>
      </c>
      <c r="AE87" s="8">
        <f t="shared" si="52"/>
        <v>0</v>
      </c>
      <c r="AF87" s="8">
        <f t="shared" si="52"/>
        <v>0</v>
      </c>
      <c r="AG87" s="8">
        <f t="shared" si="52"/>
        <v>0</v>
      </c>
      <c r="AH87" s="8">
        <f t="shared" si="52"/>
        <v>0</v>
      </c>
      <c r="AI87" s="8">
        <f t="shared" si="52"/>
        <v>0</v>
      </c>
      <c r="AJ87" s="8">
        <f t="shared" si="52"/>
        <v>0</v>
      </c>
      <c r="AK87" s="8">
        <f t="shared" si="52"/>
        <v>0</v>
      </c>
      <c r="AL87" s="8">
        <f t="shared" si="52"/>
        <v>0</v>
      </c>
      <c r="AM87" s="8">
        <f t="shared" si="52"/>
        <v>0</v>
      </c>
      <c r="AN87" s="8">
        <f t="shared" si="52"/>
        <v>0</v>
      </c>
      <c r="AO87" s="8">
        <f t="shared" si="52"/>
        <v>0</v>
      </c>
      <c r="AP87" s="8">
        <f t="shared" si="52"/>
        <v>0</v>
      </c>
      <c r="AQ87" s="8">
        <f t="shared" si="52"/>
        <v>0</v>
      </c>
      <c r="AR87" s="8">
        <f t="shared" si="52"/>
        <v>0</v>
      </c>
      <c r="AS87" s="8">
        <f t="shared" si="52"/>
        <v>0</v>
      </c>
      <c r="AT87" s="8">
        <f t="shared" si="52"/>
        <v>0</v>
      </c>
      <c r="AU87" s="8">
        <f t="shared" si="52"/>
        <v>0</v>
      </c>
      <c r="AV87" s="8">
        <f t="shared" si="52"/>
        <v>0</v>
      </c>
      <c r="AW87" s="8">
        <f t="shared" si="52"/>
        <v>0</v>
      </c>
      <c r="AX87" s="8">
        <f t="shared" si="52"/>
        <v>0</v>
      </c>
      <c r="AY87" s="8">
        <f t="shared" si="52"/>
        <v>0</v>
      </c>
      <c r="AZ87" s="8">
        <f t="shared" si="52"/>
        <v>0</v>
      </c>
      <c r="BA87" s="8">
        <f t="shared" si="52"/>
        <v>0</v>
      </c>
      <c r="BB87" s="8">
        <f t="shared" si="52"/>
        <v>0</v>
      </c>
      <c r="BC87" s="8">
        <f t="shared" si="52"/>
        <v>0</v>
      </c>
      <c r="BD87" s="8">
        <f t="shared" si="52"/>
        <v>0</v>
      </c>
      <c r="BE87" s="8">
        <f t="shared" si="52"/>
        <v>0</v>
      </c>
      <c r="BF87" s="8">
        <f t="shared" si="52"/>
        <v>0</v>
      </c>
      <c r="BG87" s="8">
        <f t="shared" si="52"/>
        <v>0</v>
      </c>
      <c r="BH87" s="8">
        <f t="shared" si="52"/>
        <v>0</v>
      </c>
      <c r="BI87" s="8">
        <f t="shared" si="52"/>
        <v>0</v>
      </c>
      <c r="BJ87" s="8">
        <f t="shared" si="52"/>
        <v>0</v>
      </c>
      <c r="BK87" s="8">
        <f t="shared" si="52"/>
        <v>0</v>
      </c>
      <c r="BL87" s="8">
        <f t="shared" si="52"/>
        <v>0</v>
      </c>
      <c r="BM87" s="8">
        <f t="shared" si="52"/>
        <v>0</v>
      </c>
      <c r="BN87" s="8">
        <f t="shared" si="52"/>
        <v>0</v>
      </c>
      <c r="BO87" s="8">
        <f t="shared" si="52"/>
        <v>0</v>
      </c>
      <c r="BP87" s="8">
        <f t="shared" si="52"/>
        <v>0</v>
      </c>
      <c r="BQ87" s="8">
        <f t="shared" si="52"/>
        <v>0</v>
      </c>
      <c r="BR87" s="8">
        <f t="shared" si="52"/>
        <v>0</v>
      </c>
      <c r="BS87" s="8">
        <f>SUM(BS84:BS86)</f>
        <v>0</v>
      </c>
      <c r="BT87" s="8">
        <f>SUM(BT84:BT86)</f>
        <v>0</v>
      </c>
      <c r="BU87" s="8">
        <f>SUM(BU84:BU86)</f>
        <v>0</v>
      </c>
      <c r="BV87" s="8">
        <f>SUM(BV84:BV86)</f>
        <v>895000</v>
      </c>
      <c r="BW87" s="8">
        <f t="shared" si="52"/>
        <v>97634</v>
      </c>
      <c r="BX87" s="8">
        <f t="shared" si="52"/>
        <v>992634</v>
      </c>
    </row>
    <row r="88" spans="1:79">
      <c r="F88" s="1"/>
      <c r="G88" s="4"/>
      <c r="J88" s="5">
        <f>SUM(H88:I88)</f>
        <v>0</v>
      </c>
      <c r="M88" s="5">
        <f>SUM(K88:L88)</f>
        <v>0</v>
      </c>
      <c r="P88" s="5">
        <f>SUM(N88:O88)</f>
        <v>0</v>
      </c>
      <c r="S88" s="5">
        <f>SUM(Q88:R88)</f>
        <v>0</v>
      </c>
      <c r="V88" s="5">
        <f>SUM(T88:U88)</f>
        <v>0</v>
      </c>
      <c r="Y88" s="5">
        <f>SUM(W88:X88)</f>
        <v>0</v>
      </c>
      <c r="AB88" s="5">
        <f>SUM(Z88:AA88)</f>
        <v>0</v>
      </c>
      <c r="AE88" s="5">
        <f>SUM(AC88:AD88)</f>
        <v>0</v>
      </c>
      <c r="AH88" s="5">
        <f>SUM(AF88:AG88)</f>
        <v>0</v>
      </c>
      <c r="AK88" s="5">
        <f>SUM(AI88:AJ88)</f>
        <v>0</v>
      </c>
      <c r="AN88" s="5">
        <f>SUM(AL88:AM88)</f>
        <v>0</v>
      </c>
      <c r="AQ88" s="5">
        <f>SUM(AO88:AP88)</f>
        <v>0</v>
      </c>
    </row>
    <row r="89" spans="1:79">
      <c r="F89" s="1"/>
      <c r="G89" s="4"/>
      <c r="N89" s="18"/>
      <c r="O89" s="18"/>
      <c r="AC89" s="18"/>
      <c r="AD89" s="18"/>
    </row>
    <row r="90" spans="1:79" s="7" customFormat="1">
      <c r="A90" s="7" t="s">
        <v>2</v>
      </c>
      <c r="D90" s="39"/>
      <c r="F90" s="43" t="s">
        <v>124</v>
      </c>
      <c r="G90" s="42"/>
      <c r="H90" s="42">
        <f>H77+H87</f>
        <v>725000</v>
      </c>
      <c r="I90" s="42">
        <f t="shared" ref="I90:BT90" si="53">I77+I87</f>
        <v>425366</v>
      </c>
      <c r="J90" s="42">
        <f t="shared" si="53"/>
        <v>1150366</v>
      </c>
      <c r="K90" s="42">
        <f t="shared" si="53"/>
        <v>785000</v>
      </c>
      <c r="L90" s="42">
        <f t="shared" si="53"/>
        <v>392418</v>
      </c>
      <c r="M90" s="42">
        <f t="shared" si="53"/>
        <v>1177418</v>
      </c>
      <c r="N90" s="42">
        <f t="shared" si="53"/>
        <v>825000</v>
      </c>
      <c r="O90" s="42">
        <f t="shared" si="53"/>
        <v>356401</v>
      </c>
      <c r="P90" s="42">
        <f t="shared" si="53"/>
        <v>1181401</v>
      </c>
      <c r="Q90" s="42">
        <f t="shared" si="53"/>
        <v>795000</v>
      </c>
      <c r="R90" s="42">
        <f t="shared" si="53"/>
        <v>327736</v>
      </c>
      <c r="S90" s="42">
        <f t="shared" si="53"/>
        <v>1122736</v>
      </c>
      <c r="T90" s="42">
        <f t="shared" si="53"/>
        <v>825000</v>
      </c>
      <c r="U90" s="42">
        <f t="shared" si="53"/>
        <v>299364</v>
      </c>
      <c r="V90" s="42">
        <f t="shared" si="53"/>
        <v>1124364</v>
      </c>
      <c r="W90" s="42">
        <f t="shared" si="53"/>
        <v>860000</v>
      </c>
      <c r="X90" s="42">
        <f t="shared" si="53"/>
        <v>266290</v>
      </c>
      <c r="Y90" s="42">
        <f t="shared" si="53"/>
        <v>1126290</v>
      </c>
      <c r="Z90" s="42">
        <f t="shared" si="53"/>
        <v>730000</v>
      </c>
      <c r="AA90" s="42">
        <f t="shared" si="53"/>
        <v>231810</v>
      </c>
      <c r="AB90" s="42">
        <f t="shared" si="53"/>
        <v>961810</v>
      </c>
      <c r="AC90" s="42">
        <f t="shared" si="53"/>
        <v>755000</v>
      </c>
      <c r="AD90" s="42">
        <f t="shared" si="53"/>
        <v>202610</v>
      </c>
      <c r="AE90" s="42">
        <f t="shared" si="53"/>
        <v>957610</v>
      </c>
      <c r="AF90" s="42">
        <f t="shared" si="53"/>
        <v>795000</v>
      </c>
      <c r="AG90" s="42">
        <f t="shared" si="53"/>
        <v>170565</v>
      </c>
      <c r="AH90" s="42">
        <f t="shared" si="53"/>
        <v>965565</v>
      </c>
      <c r="AI90" s="42">
        <f t="shared" si="53"/>
        <v>835000</v>
      </c>
      <c r="AJ90" s="42">
        <f t="shared" si="53"/>
        <v>131750</v>
      </c>
      <c r="AK90" s="42">
        <f t="shared" si="53"/>
        <v>966750</v>
      </c>
      <c r="AL90" s="42">
        <f t="shared" si="53"/>
        <v>880000</v>
      </c>
      <c r="AM90" s="42">
        <f t="shared" si="53"/>
        <v>90000</v>
      </c>
      <c r="AN90" s="42">
        <f t="shared" si="53"/>
        <v>970000</v>
      </c>
      <c r="AO90" s="42">
        <f t="shared" si="53"/>
        <v>920000</v>
      </c>
      <c r="AP90" s="42">
        <f t="shared" si="53"/>
        <v>46000</v>
      </c>
      <c r="AQ90" s="42">
        <f t="shared" si="53"/>
        <v>966000</v>
      </c>
      <c r="AR90" s="42">
        <f t="shared" si="53"/>
        <v>0</v>
      </c>
      <c r="AS90" s="42">
        <f t="shared" si="53"/>
        <v>0</v>
      </c>
      <c r="AT90" s="42">
        <f t="shared" si="53"/>
        <v>0</v>
      </c>
      <c r="AU90" s="42">
        <f t="shared" si="53"/>
        <v>0</v>
      </c>
      <c r="AV90" s="42">
        <f t="shared" si="53"/>
        <v>0</v>
      </c>
      <c r="AW90" s="42">
        <f t="shared" si="53"/>
        <v>0</v>
      </c>
      <c r="AX90" s="42">
        <f t="shared" si="53"/>
        <v>0</v>
      </c>
      <c r="AY90" s="42">
        <f t="shared" si="53"/>
        <v>0</v>
      </c>
      <c r="AZ90" s="42">
        <f t="shared" si="53"/>
        <v>0</v>
      </c>
      <c r="BA90" s="42">
        <f t="shared" si="53"/>
        <v>0</v>
      </c>
      <c r="BB90" s="42">
        <f t="shared" si="53"/>
        <v>0</v>
      </c>
      <c r="BC90" s="42">
        <f t="shared" si="53"/>
        <v>0</v>
      </c>
      <c r="BD90" s="42">
        <f t="shared" si="53"/>
        <v>0</v>
      </c>
      <c r="BE90" s="42">
        <f t="shared" si="53"/>
        <v>0</v>
      </c>
      <c r="BF90" s="42">
        <f t="shared" si="53"/>
        <v>0</v>
      </c>
      <c r="BG90" s="42">
        <f t="shared" si="53"/>
        <v>0</v>
      </c>
      <c r="BH90" s="42">
        <f t="shared" si="53"/>
        <v>0</v>
      </c>
      <c r="BI90" s="42">
        <f t="shared" si="53"/>
        <v>0</v>
      </c>
      <c r="BJ90" s="42">
        <f t="shared" si="53"/>
        <v>0</v>
      </c>
      <c r="BK90" s="42">
        <f t="shared" si="53"/>
        <v>0</v>
      </c>
      <c r="BL90" s="42">
        <f t="shared" si="53"/>
        <v>0</v>
      </c>
      <c r="BM90" s="42">
        <f t="shared" si="53"/>
        <v>0</v>
      </c>
      <c r="BN90" s="42">
        <f t="shared" si="53"/>
        <v>0</v>
      </c>
      <c r="BO90" s="42">
        <f t="shared" si="53"/>
        <v>0</v>
      </c>
      <c r="BP90" s="42">
        <f t="shared" si="53"/>
        <v>0</v>
      </c>
      <c r="BQ90" s="42">
        <f t="shared" si="53"/>
        <v>0</v>
      </c>
      <c r="BR90" s="42">
        <f t="shared" si="53"/>
        <v>0</v>
      </c>
      <c r="BS90" s="42">
        <f t="shared" si="53"/>
        <v>0</v>
      </c>
      <c r="BT90" s="42">
        <f t="shared" si="53"/>
        <v>0</v>
      </c>
      <c r="BU90" s="42">
        <f>BU77+BU87</f>
        <v>0</v>
      </c>
      <c r="BV90" s="42">
        <f>BV77+BV87</f>
        <v>9005000</v>
      </c>
      <c r="BW90" s="42">
        <f>BW77+BW87</f>
        <v>2514944</v>
      </c>
      <c r="BX90" s="42">
        <f>BX77+BX87</f>
        <v>11519944</v>
      </c>
      <c r="BY90" s="2"/>
      <c r="BZ90" s="2"/>
      <c r="CA90" s="2"/>
    </row>
    <row r="91" spans="1:79">
      <c r="A91" s="5" t="s">
        <v>2</v>
      </c>
      <c r="F91" s="1" t="s">
        <v>2</v>
      </c>
      <c r="G91" s="4"/>
      <c r="H91" s="1" t="s">
        <v>2</v>
      </c>
      <c r="I91" s="5" t="s">
        <v>2</v>
      </c>
      <c r="J91" s="5" t="s">
        <v>2</v>
      </c>
      <c r="K91" s="1" t="s">
        <v>2</v>
      </c>
      <c r="L91" s="5" t="s">
        <v>2</v>
      </c>
      <c r="M91" s="5" t="s">
        <v>2</v>
      </c>
      <c r="N91" s="1" t="s">
        <v>2</v>
      </c>
      <c r="O91" s="5" t="s">
        <v>2</v>
      </c>
      <c r="P91" s="5" t="s">
        <v>2</v>
      </c>
      <c r="Q91" s="1" t="s">
        <v>2</v>
      </c>
      <c r="R91" s="5" t="s">
        <v>2</v>
      </c>
      <c r="S91" s="5" t="s">
        <v>2</v>
      </c>
      <c r="T91" s="1" t="s">
        <v>2</v>
      </c>
      <c r="V91" s="5" t="s">
        <v>2</v>
      </c>
      <c r="W91" s="1" t="s">
        <v>2</v>
      </c>
      <c r="Y91" s="5" t="s">
        <v>2</v>
      </c>
      <c r="Z91" s="1" t="s">
        <v>2</v>
      </c>
      <c r="AB91" s="5" t="s">
        <v>2</v>
      </c>
      <c r="AC91" s="1" t="s">
        <v>2</v>
      </c>
      <c r="AE91" s="5" t="s">
        <v>2</v>
      </c>
      <c r="AF91" s="1" t="s">
        <v>2</v>
      </c>
      <c r="AH91" s="5" t="s">
        <v>2</v>
      </c>
      <c r="AI91" s="1" t="s">
        <v>2</v>
      </c>
      <c r="AK91" s="5" t="s">
        <v>2</v>
      </c>
      <c r="AL91" s="1" t="s">
        <v>2</v>
      </c>
      <c r="AN91" s="5" t="s">
        <v>2</v>
      </c>
      <c r="AO91" s="1" t="s">
        <v>2</v>
      </c>
      <c r="AQ91" s="5" t="s">
        <v>2</v>
      </c>
    </row>
    <row r="93" spans="1:79">
      <c r="F93" s="1"/>
      <c r="G93" s="1"/>
    </row>
    <row r="94" spans="1:79">
      <c r="G94" s="1"/>
    </row>
    <row r="95" spans="1:79">
      <c r="F95" s="1"/>
      <c r="G95" s="1"/>
      <c r="I95" s="44" t="s">
        <v>4</v>
      </c>
      <c r="J95" s="44"/>
      <c r="K95" s="44"/>
      <c r="L95" s="44" t="s">
        <v>97</v>
      </c>
      <c r="M95" s="44"/>
      <c r="N95" s="44"/>
      <c r="O95" s="44" t="s">
        <v>96</v>
      </c>
      <c r="P95" s="44"/>
      <c r="Q95" s="44"/>
    </row>
    <row r="96" spans="1:79" ht="16.8">
      <c r="F96" s="1"/>
      <c r="J96" s="37"/>
      <c r="K96" s="37"/>
      <c r="L96" s="37"/>
      <c r="M96" s="37"/>
      <c r="N96" s="37"/>
      <c r="O96" s="37"/>
      <c r="P96" s="37"/>
      <c r="Q96" s="37"/>
      <c r="R96" s="37"/>
    </row>
    <row r="97" spans="1:80" ht="16.8">
      <c r="F97" s="1"/>
      <c r="I97" s="38" t="s">
        <v>5</v>
      </c>
      <c r="J97" s="38" t="s">
        <v>6</v>
      </c>
      <c r="K97" s="38" t="s">
        <v>3</v>
      </c>
      <c r="L97" s="38" t="s">
        <v>5</v>
      </c>
      <c r="M97" s="38" t="s">
        <v>6</v>
      </c>
      <c r="N97" s="38" t="s">
        <v>3</v>
      </c>
      <c r="O97" s="38" t="s">
        <v>5</v>
      </c>
      <c r="P97" s="38" t="s">
        <v>11</v>
      </c>
      <c r="Q97" s="38" t="s">
        <v>3</v>
      </c>
    </row>
    <row r="98" spans="1:80" ht="16.8">
      <c r="H98" s="38"/>
      <c r="I98" s="25"/>
      <c r="J98" s="38"/>
      <c r="K98" s="38"/>
    </row>
    <row r="99" spans="1:80">
      <c r="H99" s="11">
        <v>2024</v>
      </c>
      <c r="I99" s="14">
        <f>$K32</f>
        <v>2487159.87</v>
      </c>
      <c r="J99" s="14">
        <f>$L32</f>
        <v>630907.48</v>
      </c>
      <c r="K99" s="14">
        <f t="shared" ref="K99:K105" si="54">I99+J99</f>
        <v>3118067.35</v>
      </c>
      <c r="L99" s="14">
        <f>$K69</f>
        <v>2051045.45</v>
      </c>
      <c r="M99" s="14">
        <f>$L69</f>
        <v>765787.20538499998</v>
      </c>
      <c r="N99" s="5">
        <f t="shared" ref="N99:N105" si="55">L99+M99</f>
        <v>2816832.6553849997</v>
      </c>
      <c r="O99" s="14">
        <f>$K90</f>
        <v>785000</v>
      </c>
      <c r="P99" s="14">
        <f>$L90</f>
        <v>392418</v>
      </c>
      <c r="Q99" s="14">
        <f t="shared" ref="Q99:Q105" si="56">O99+P99</f>
        <v>1177418</v>
      </c>
    </row>
    <row r="100" spans="1:80">
      <c r="H100" s="12">
        <v>2025</v>
      </c>
      <c r="I100" s="14">
        <f>$N32</f>
        <v>1382498.6400000001</v>
      </c>
      <c r="J100" s="14">
        <f>$O32</f>
        <v>538368.25</v>
      </c>
      <c r="K100" s="14">
        <f t="shared" si="54"/>
        <v>1920866.8900000001</v>
      </c>
      <c r="L100" s="14">
        <f>$N69</f>
        <v>1400579.78</v>
      </c>
      <c r="M100" s="14">
        <f>$O69</f>
        <v>714073.78535800008</v>
      </c>
      <c r="N100" s="5">
        <f t="shared" si="55"/>
        <v>2114653.5653579999</v>
      </c>
      <c r="O100" s="14">
        <f>$N90</f>
        <v>825000</v>
      </c>
      <c r="P100" s="14">
        <f>$O90</f>
        <v>356401</v>
      </c>
      <c r="Q100" s="14">
        <f t="shared" si="56"/>
        <v>1181401</v>
      </c>
    </row>
    <row r="101" spans="1:80">
      <c r="H101" s="12">
        <v>2026</v>
      </c>
      <c r="I101" s="14">
        <f>$Q32</f>
        <v>1423113.8900000001</v>
      </c>
      <c r="J101" s="14">
        <f>$R32</f>
        <v>495321.51</v>
      </c>
      <c r="K101" s="14">
        <f t="shared" si="54"/>
        <v>1918435.4000000001</v>
      </c>
      <c r="L101" s="14">
        <f>$Q69</f>
        <v>1448755.96</v>
      </c>
      <c r="M101" s="14">
        <f>$R69</f>
        <v>665404.03905799997</v>
      </c>
      <c r="N101" s="5">
        <f t="shared" si="55"/>
        <v>2114159.9990579998</v>
      </c>
      <c r="O101" s="14">
        <f>$Q90</f>
        <v>795000</v>
      </c>
      <c r="P101" s="14">
        <f>$R90</f>
        <v>327736</v>
      </c>
      <c r="Q101" s="14">
        <f t="shared" si="56"/>
        <v>1122736</v>
      </c>
    </row>
    <row r="102" spans="1:80">
      <c r="H102" s="12">
        <v>2027</v>
      </c>
      <c r="I102" s="14">
        <f>$T32</f>
        <v>1470349.55</v>
      </c>
      <c r="J102" s="14">
        <f>$U32</f>
        <v>450846.34</v>
      </c>
      <c r="K102" s="14">
        <f t="shared" si="54"/>
        <v>1921195.8900000001</v>
      </c>
      <c r="L102" s="14">
        <f>$T69</f>
        <v>1533181.1400000001</v>
      </c>
      <c r="M102" s="14">
        <f>$U69</f>
        <v>615159.50910999998</v>
      </c>
      <c r="N102" s="5">
        <f t="shared" si="55"/>
        <v>2148340.6491100001</v>
      </c>
      <c r="O102" s="14">
        <f>$T90</f>
        <v>825000</v>
      </c>
      <c r="P102" s="14">
        <f>$U90</f>
        <v>299364</v>
      </c>
      <c r="Q102" s="14">
        <f t="shared" si="56"/>
        <v>1124364</v>
      </c>
    </row>
    <row r="103" spans="1:80">
      <c r="H103" s="12">
        <v>2028</v>
      </c>
      <c r="I103" s="5">
        <f>$W32</f>
        <v>1415000</v>
      </c>
      <c r="J103" s="5">
        <f>$X32</f>
        <v>404783.25</v>
      </c>
      <c r="K103" s="14">
        <f t="shared" si="54"/>
        <v>1819783.25</v>
      </c>
      <c r="L103" s="14">
        <f>$W69</f>
        <v>1537074.32</v>
      </c>
      <c r="M103" s="14">
        <f>$X69</f>
        <v>561604.09325999999</v>
      </c>
      <c r="N103" s="5">
        <f t="shared" si="55"/>
        <v>2098678.4132599998</v>
      </c>
      <c r="O103" s="14">
        <f>$W90</f>
        <v>860000</v>
      </c>
      <c r="P103" s="14">
        <f>$X90</f>
        <v>266290</v>
      </c>
      <c r="Q103" s="14">
        <f t="shared" si="56"/>
        <v>1126290</v>
      </c>
    </row>
    <row r="104" spans="1:80">
      <c r="H104" s="13" t="s">
        <v>29</v>
      </c>
      <c r="I104" s="14">
        <f>Z32+AC32+AF32+AI32+AL32</f>
        <v>6135000</v>
      </c>
      <c r="J104" s="14">
        <f>AA32+AD32+AG32+AJ32+AM32</f>
        <v>1355063.5</v>
      </c>
      <c r="K104" s="14">
        <f t="shared" si="54"/>
        <v>7490063.5</v>
      </c>
      <c r="L104" s="14">
        <f>Z69+AC69+AF69+AI69+AL69</f>
        <v>5197431.1109999996</v>
      </c>
      <c r="M104" s="14">
        <f>AA69+AD69+AG69+AJ69+AM69</f>
        <v>2220661.7634039996</v>
      </c>
      <c r="N104" s="5">
        <f t="shared" si="55"/>
        <v>7418092.8744039992</v>
      </c>
      <c r="O104" s="14">
        <f>Z90+AC90+AF90+AI90+AL90</f>
        <v>3995000</v>
      </c>
      <c r="P104" s="14">
        <f>AA90+AD90+AG90+AJ90+AM90</f>
        <v>826735</v>
      </c>
      <c r="Q104" s="14">
        <f t="shared" si="56"/>
        <v>4821735</v>
      </c>
    </row>
    <row r="105" spans="1:80">
      <c r="H105" s="13" t="s">
        <v>95</v>
      </c>
      <c r="I105" s="14">
        <f>AO32+AR32+AU32+AX32+BA32+BD32+BG32+BJ32+BM32+BP32+BS32</f>
        <v>3555000</v>
      </c>
      <c r="J105" s="14">
        <f>AP32+AS32+AV32+AY32+BB32+BE32+BH32+BK32+BN32+BQ32+BT32</f>
        <v>288000</v>
      </c>
      <c r="K105" s="14">
        <f t="shared" si="54"/>
        <v>3843000</v>
      </c>
      <c r="L105" s="14">
        <f>AO69+AR69+AU69+AX69+BA69+BD69+BG69+BJ69+BM69+BP69+BS69</f>
        <v>8889227.6153999995</v>
      </c>
      <c r="M105" s="14">
        <f>AP69+AS69+AV69+AY69+BB69+BE69+BH69+BK69+BN69+BQ69+BT69</f>
        <v>2244308.410476</v>
      </c>
      <c r="N105" s="5">
        <f t="shared" si="55"/>
        <v>11133536.025876001</v>
      </c>
      <c r="O105" s="14">
        <f>AO90+AR90+AU90+AX90+BA90+BD90+BG90+BJ90+BM90+BP90+BS90</f>
        <v>920000</v>
      </c>
      <c r="P105" s="14">
        <f>AP90+AS90+AV90+AY90+BB90+BE90+BH90+BK90+BN90+BQ90+BT90</f>
        <v>46000</v>
      </c>
      <c r="Q105" s="14">
        <f t="shared" si="56"/>
        <v>966000</v>
      </c>
    </row>
    <row r="106" spans="1:80">
      <c r="H106" s="13"/>
      <c r="I106" s="14"/>
      <c r="J106" s="14"/>
      <c r="K106" s="14"/>
      <c r="L106" s="14"/>
      <c r="M106" s="14"/>
      <c r="O106" s="14"/>
      <c r="P106" s="14"/>
      <c r="Q106" s="14"/>
    </row>
    <row r="107" spans="1:80">
      <c r="I107" s="15"/>
      <c r="J107" s="15"/>
      <c r="K107" s="15"/>
      <c r="L107" s="15"/>
      <c r="M107" s="15"/>
      <c r="N107" s="15"/>
      <c r="O107" s="15"/>
      <c r="P107" s="15"/>
      <c r="Q107" s="15"/>
    </row>
    <row r="108" spans="1:80">
      <c r="F108" s="1"/>
      <c r="I108" s="14">
        <f>SUM(I99:I107)</f>
        <v>17868121.949999999</v>
      </c>
      <c r="J108" s="14">
        <f>SUM(J99:J107)</f>
        <v>4163290.33</v>
      </c>
      <c r="K108" s="14">
        <f>SUM(K99:K107)</f>
        <v>22031412.280000001</v>
      </c>
      <c r="L108" s="14">
        <f>SUM(L99:L107)+1</f>
        <v>22057296.376400001</v>
      </c>
      <c r="M108" s="14">
        <f>SUM(M99:M107)</f>
        <v>7786998.806051</v>
      </c>
      <c r="N108" s="14">
        <f>SUM(N99:N107)</f>
        <v>29844294.182450999</v>
      </c>
      <c r="O108" s="14">
        <f>SUM(O99:O107)</f>
        <v>9005000</v>
      </c>
      <c r="P108" s="14">
        <f>SUM(P99:P107)</f>
        <v>2514944</v>
      </c>
      <c r="Q108" s="14">
        <f>SUM(Q99:Q107)</f>
        <v>11519944</v>
      </c>
    </row>
    <row r="109" spans="1:80">
      <c r="F109" s="1"/>
    </row>
    <row r="110" spans="1:80">
      <c r="F110" s="1"/>
    </row>
    <row r="111" spans="1:80" ht="13.8" hidden="1" thickBot="1">
      <c r="G111" s="29"/>
      <c r="H111" s="41">
        <v>0.17469999999999999</v>
      </c>
      <c r="I111" s="41">
        <f t="shared" ref="I111:BQ111" si="57">H111</f>
        <v>0.17469999999999999</v>
      </c>
      <c r="J111" s="41">
        <f>I111</f>
        <v>0.17469999999999999</v>
      </c>
      <c r="K111" s="41">
        <v>0.17460000000000001</v>
      </c>
      <c r="L111" s="41">
        <f t="shared" si="57"/>
        <v>0.17460000000000001</v>
      </c>
      <c r="M111" s="41">
        <f t="shared" si="57"/>
        <v>0.17460000000000001</v>
      </c>
      <c r="N111" s="41">
        <f t="shared" si="57"/>
        <v>0.17460000000000001</v>
      </c>
      <c r="O111" s="41">
        <f t="shared" si="57"/>
        <v>0.17460000000000001</v>
      </c>
      <c r="P111" s="41">
        <f t="shared" si="57"/>
        <v>0.17460000000000001</v>
      </c>
      <c r="Q111" s="41">
        <f t="shared" si="57"/>
        <v>0.17460000000000001</v>
      </c>
      <c r="R111" s="41">
        <f t="shared" si="57"/>
        <v>0.17460000000000001</v>
      </c>
      <c r="S111" s="41">
        <f>R111</f>
        <v>0.17460000000000001</v>
      </c>
      <c r="T111" s="41">
        <f t="shared" si="57"/>
        <v>0.17460000000000001</v>
      </c>
      <c r="U111" s="41">
        <f t="shared" si="57"/>
        <v>0.17460000000000001</v>
      </c>
      <c r="V111" s="41">
        <f t="shared" si="57"/>
        <v>0.17460000000000001</v>
      </c>
      <c r="W111" s="41">
        <f t="shared" si="57"/>
        <v>0.17460000000000001</v>
      </c>
      <c r="X111" s="41">
        <f t="shared" si="57"/>
        <v>0.17460000000000001</v>
      </c>
      <c r="Y111" s="41">
        <f t="shared" si="57"/>
        <v>0.17460000000000001</v>
      </c>
      <c r="Z111" s="41">
        <f t="shared" si="57"/>
        <v>0.17460000000000001</v>
      </c>
      <c r="AA111" s="41">
        <f t="shared" si="57"/>
        <v>0.17460000000000001</v>
      </c>
      <c r="AB111" s="41">
        <f t="shared" si="57"/>
        <v>0.17460000000000001</v>
      </c>
      <c r="AC111" s="41">
        <f t="shared" si="57"/>
        <v>0.17460000000000001</v>
      </c>
      <c r="AD111" s="41">
        <f t="shared" si="57"/>
        <v>0.17460000000000001</v>
      </c>
      <c r="AE111" s="41">
        <f t="shared" si="57"/>
        <v>0.17460000000000001</v>
      </c>
      <c r="AF111" s="41">
        <f t="shared" si="57"/>
        <v>0.17460000000000001</v>
      </c>
      <c r="AG111" s="41">
        <f t="shared" si="57"/>
        <v>0.17460000000000001</v>
      </c>
      <c r="AH111" s="41">
        <f t="shared" si="57"/>
        <v>0.17460000000000001</v>
      </c>
      <c r="AI111" s="41">
        <f t="shared" si="57"/>
        <v>0.17460000000000001</v>
      </c>
      <c r="AJ111" s="41">
        <f t="shared" si="57"/>
        <v>0.17460000000000001</v>
      </c>
      <c r="AK111" s="41">
        <f t="shared" si="57"/>
        <v>0.17460000000000001</v>
      </c>
      <c r="AL111" s="41">
        <f t="shared" si="57"/>
        <v>0.17460000000000001</v>
      </c>
      <c r="AM111" s="41">
        <f t="shared" si="57"/>
        <v>0.17460000000000001</v>
      </c>
      <c r="AN111" s="41">
        <f t="shared" si="57"/>
        <v>0.17460000000000001</v>
      </c>
      <c r="AO111" s="41">
        <f t="shared" si="57"/>
        <v>0.17460000000000001</v>
      </c>
      <c r="AP111" s="41">
        <f t="shared" si="57"/>
        <v>0.17460000000000001</v>
      </c>
      <c r="AQ111" s="41">
        <f t="shared" si="57"/>
        <v>0.17460000000000001</v>
      </c>
      <c r="AR111" s="41">
        <f t="shared" si="57"/>
        <v>0.17460000000000001</v>
      </c>
      <c r="AS111" s="41">
        <f t="shared" si="57"/>
        <v>0.17460000000000001</v>
      </c>
      <c r="AT111" s="41">
        <f t="shared" si="57"/>
        <v>0.17460000000000001</v>
      </c>
      <c r="AU111" s="41">
        <f t="shared" si="57"/>
        <v>0.17460000000000001</v>
      </c>
      <c r="AV111" s="41">
        <f t="shared" si="57"/>
        <v>0.17460000000000001</v>
      </c>
      <c r="AW111" s="41">
        <f t="shared" si="57"/>
        <v>0.17460000000000001</v>
      </c>
      <c r="AX111" s="41">
        <f t="shared" si="57"/>
        <v>0.17460000000000001</v>
      </c>
      <c r="AY111" s="41">
        <f t="shared" si="57"/>
        <v>0.17460000000000001</v>
      </c>
      <c r="AZ111" s="41">
        <f t="shared" si="57"/>
        <v>0.17460000000000001</v>
      </c>
      <c r="BA111" s="41">
        <f t="shared" si="57"/>
        <v>0.17460000000000001</v>
      </c>
      <c r="BB111" s="41">
        <f t="shared" si="57"/>
        <v>0.17460000000000001</v>
      </c>
      <c r="BC111" s="41">
        <f t="shared" si="57"/>
        <v>0.17460000000000001</v>
      </c>
      <c r="BD111" s="41">
        <f t="shared" si="57"/>
        <v>0.17460000000000001</v>
      </c>
      <c r="BE111" s="41">
        <f t="shared" si="57"/>
        <v>0.17460000000000001</v>
      </c>
      <c r="BF111" s="41">
        <f t="shared" si="57"/>
        <v>0.17460000000000001</v>
      </c>
      <c r="BG111" s="41">
        <f t="shared" si="57"/>
        <v>0.17460000000000001</v>
      </c>
      <c r="BH111" s="41">
        <f t="shared" si="57"/>
        <v>0.17460000000000001</v>
      </c>
      <c r="BI111" s="41">
        <f t="shared" si="57"/>
        <v>0.17460000000000001</v>
      </c>
      <c r="BJ111" s="41">
        <f t="shared" si="57"/>
        <v>0.17460000000000001</v>
      </c>
      <c r="BK111" s="41">
        <f t="shared" si="57"/>
        <v>0.17460000000000001</v>
      </c>
      <c r="BL111" s="41">
        <f t="shared" si="57"/>
        <v>0.17460000000000001</v>
      </c>
      <c r="BM111" s="41">
        <f t="shared" si="57"/>
        <v>0.17460000000000001</v>
      </c>
      <c r="BN111" s="41">
        <f t="shared" si="57"/>
        <v>0.17460000000000001</v>
      </c>
      <c r="BO111" s="41">
        <f t="shared" si="57"/>
        <v>0.17460000000000001</v>
      </c>
      <c r="BP111" s="41">
        <f t="shared" si="57"/>
        <v>0.17460000000000001</v>
      </c>
      <c r="BQ111" s="41">
        <f t="shared" si="57"/>
        <v>0.17460000000000001</v>
      </c>
      <c r="BR111" s="41">
        <f>BQ111</f>
        <v>0.17460000000000001</v>
      </c>
      <c r="BS111" s="41">
        <f>BR111</f>
        <v>0.17460000000000001</v>
      </c>
      <c r="BT111" s="41">
        <f>BS111</f>
        <v>0.17460000000000001</v>
      </c>
      <c r="BU111" s="41">
        <f>BT111</f>
        <v>0.17460000000000001</v>
      </c>
      <c r="BY111" s="5" t="s">
        <v>31</v>
      </c>
    </row>
    <row r="112" spans="1:80" hidden="1">
      <c r="A112" s="5" t="s">
        <v>98</v>
      </c>
      <c r="F112" s="1"/>
      <c r="G112" s="31"/>
      <c r="H112" s="26">
        <v>255000</v>
      </c>
      <c r="I112" s="26">
        <f>10684.38+8612.5</f>
        <v>19296.879999999997</v>
      </c>
      <c r="J112" s="26">
        <f t="shared" ref="J112:J122" si="58">SUM(H112:I112)</f>
        <v>274296.88</v>
      </c>
      <c r="K112" s="26">
        <v>260000</v>
      </c>
      <c r="L112" s="26">
        <f>8612.5+6500</f>
        <v>15112.5</v>
      </c>
      <c r="M112" s="26">
        <f t="shared" ref="M112:M119" si="59">SUM(K112:L112)</f>
        <v>275112.5</v>
      </c>
      <c r="N112" s="26">
        <v>265000</v>
      </c>
      <c r="O112" s="26">
        <f>6500+4346.88</f>
        <v>10846.880000000001</v>
      </c>
      <c r="P112" s="26">
        <f t="shared" ref="P112:P119" si="60">SUM(N112:O112)</f>
        <v>275846.88</v>
      </c>
      <c r="Q112" s="26">
        <v>265000</v>
      </c>
      <c r="R112" s="26">
        <f>4346.88+2193.75</f>
        <v>6540.63</v>
      </c>
      <c r="S112" s="26">
        <f t="shared" ref="S112:S122" si="61">SUM(Q112:R112)</f>
        <v>271540.63</v>
      </c>
      <c r="T112" s="26">
        <v>270000</v>
      </c>
      <c r="U112" s="26">
        <f>2193.75</f>
        <v>2193.75</v>
      </c>
      <c r="V112" s="26">
        <f t="shared" ref="V112:V119" si="62">SUM(T112:U112)</f>
        <v>272193.75</v>
      </c>
      <c r="W112" s="26">
        <v>0</v>
      </c>
      <c r="X112" s="26">
        <v>0</v>
      </c>
      <c r="Y112" s="26">
        <f t="shared" ref="Y112:Y119" si="63">SUM(W112:X112)</f>
        <v>0</v>
      </c>
      <c r="Z112" s="26">
        <v>0</v>
      </c>
      <c r="AA112" s="26">
        <v>0</v>
      </c>
      <c r="AB112" s="26">
        <f t="shared" ref="AB112:AB119" si="64">SUM(Z112:AA112)</f>
        <v>0</v>
      </c>
      <c r="AC112" s="26">
        <v>0</v>
      </c>
      <c r="AD112" s="26">
        <v>0</v>
      </c>
      <c r="AE112" s="26">
        <f t="shared" ref="AE112:AE119" si="65">SUM(AC112:AD112)</f>
        <v>0</v>
      </c>
      <c r="AF112" s="26">
        <v>0</v>
      </c>
      <c r="AG112" s="26">
        <v>0</v>
      </c>
      <c r="AH112" s="26">
        <f t="shared" ref="AH112:AH119" si="66">SUM(AF112:AG112)</f>
        <v>0</v>
      </c>
      <c r="AI112" s="26">
        <v>0</v>
      </c>
      <c r="AJ112" s="26">
        <v>0</v>
      </c>
      <c r="AK112" s="26">
        <f>SUM(AI112:AJ112)</f>
        <v>0</v>
      </c>
      <c r="AL112" s="26">
        <v>0</v>
      </c>
      <c r="AM112" s="26">
        <v>0</v>
      </c>
      <c r="AN112" s="26">
        <f t="shared" ref="AN112:AN119" si="67">SUM(AL112:AM112)</f>
        <v>0</v>
      </c>
      <c r="AO112" s="26">
        <v>0</v>
      </c>
      <c r="AP112" s="26">
        <v>0</v>
      </c>
      <c r="AQ112" s="26">
        <f t="shared" ref="AQ112:AQ119" si="68">SUM(AO112:AP112)</f>
        <v>0</v>
      </c>
      <c r="AR112" s="26">
        <v>0</v>
      </c>
      <c r="AS112" s="26">
        <v>0</v>
      </c>
      <c r="AT112" s="26">
        <f>SUM(AR112:AS112)</f>
        <v>0</v>
      </c>
      <c r="AU112" s="26">
        <v>0</v>
      </c>
      <c r="AV112" s="26">
        <v>0</v>
      </c>
      <c r="AW112" s="26">
        <f>SUM(AU112:AV112)</f>
        <v>0</v>
      </c>
      <c r="AX112" s="26">
        <v>0</v>
      </c>
      <c r="AY112" s="26">
        <v>0</v>
      </c>
      <c r="AZ112" s="26">
        <f>SUM(AX112:AY112)</f>
        <v>0</v>
      </c>
      <c r="BA112" s="26">
        <v>0</v>
      </c>
      <c r="BB112" s="26">
        <v>0</v>
      </c>
      <c r="BC112" s="26">
        <f>SUM(BA112:BB112)</f>
        <v>0</v>
      </c>
      <c r="BD112" s="26">
        <v>0</v>
      </c>
      <c r="BE112" s="26">
        <v>0</v>
      </c>
      <c r="BF112" s="26">
        <f>SUM(BD112:BE112)</f>
        <v>0</v>
      </c>
      <c r="BG112" s="26">
        <v>0</v>
      </c>
      <c r="BH112" s="26">
        <v>0</v>
      </c>
      <c r="BI112" s="26">
        <f>SUM(BG112:BH112)</f>
        <v>0</v>
      </c>
      <c r="BJ112" s="26">
        <v>0</v>
      </c>
      <c r="BK112" s="26">
        <v>0</v>
      </c>
      <c r="BL112" s="26">
        <f>SUM(BJ112:BK112)</f>
        <v>0</v>
      </c>
      <c r="BM112" s="26">
        <v>0</v>
      </c>
      <c r="BN112" s="26">
        <v>0</v>
      </c>
      <c r="BO112" s="26">
        <f>SUM(BM112:BN112)</f>
        <v>0</v>
      </c>
      <c r="BP112" s="26">
        <v>0</v>
      </c>
      <c r="BQ112" s="26">
        <v>0</v>
      </c>
      <c r="BR112" s="26">
        <f>SUM(BP112:BQ112)</f>
        <v>0</v>
      </c>
      <c r="BS112" s="26">
        <v>0</v>
      </c>
      <c r="BT112" s="26">
        <v>0</v>
      </c>
      <c r="BU112" s="26">
        <f>SUM(BS112:BT112)</f>
        <v>0</v>
      </c>
      <c r="BV112" s="5">
        <f t="shared" ref="BV112:BV122" si="69">+AO112+Z112+T112+Q112+N112+K112+AC112+AF112+AI112+AL112+W112+AR112+AU112+AX112+BA112+BD112+BG112+BJ112++BM112+BP112+BS112</f>
        <v>1060000</v>
      </c>
      <c r="BW112" s="5">
        <f t="shared" ref="BW112:BW122" si="70">+AP112+AA112+U112+R112+O112+L112+AD112+AG112+AJ112+AM112+X112+AS112+AV112+AY112+BB112+BE112+BH112+BK112+BN112+BQ112+BT112</f>
        <v>34693.760000000002</v>
      </c>
      <c r="BX112" s="4">
        <f>SUM(BV112:BW112)</f>
        <v>1094693.76</v>
      </c>
      <c r="BY112" s="5">
        <f>4680000-200000-205000-205000-210000-215000-215000-220000-225000-225000-230000-235000-240000-245000-245000-250000-255000</f>
        <v>1060000</v>
      </c>
      <c r="BZ112" s="5">
        <f>837033.36-2833.7-11593.84-28732.12-33660.84-34020.91-36054.37-34734.38-34734.38-33068.75-33068.75-31362.5-31362.5-29615.63-29615.63-27868.75-27868.75-26081.25-26081.25-24253.15-24253.13-22425-22425-20556.25-20556.25-18646.88-18646.88-16696.88-16696.88-14706.25-14706.25-12715.63-12715.63-10684.38-10684.38-8612.5</f>
        <v>34693.740000000013</v>
      </c>
      <c r="CA112" s="5">
        <f t="shared" ref="CA112:CA119" si="71">+BY112+BZ112</f>
        <v>1094693.74</v>
      </c>
      <c r="CB112" s="5">
        <f t="shared" ref="CB112:CB117" si="72">BX112-CA112</f>
        <v>2.0000000018626451E-2</v>
      </c>
    </row>
    <row r="113" spans="1:80" hidden="1">
      <c r="A113" s="5" t="s">
        <v>35</v>
      </c>
      <c r="F113" s="1"/>
      <c r="G113" s="31"/>
      <c r="H113" s="26">
        <v>225000</v>
      </c>
      <c r="I113" s="26">
        <f>25113.58+22301.08</f>
        <v>47414.66</v>
      </c>
      <c r="J113" s="26">
        <f t="shared" si="58"/>
        <v>272414.66000000003</v>
      </c>
      <c r="K113" s="26">
        <v>230000</v>
      </c>
      <c r="L113" s="26">
        <f>22301.08+19426.08</f>
        <v>41727.160000000003</v>
      </c>
      <c r="M113" s="26">
        <f t="shared" si="59"/>
        <v>271727.16000000003</v>
      </c>
      <c r="N113" s="26">
        <v>240000</v>
      </c>
      <c r="O113" s="26">
        <f>19426.08+16426.08</f>
        <v>35852.160000000003</v>
      </c>
      <c r="P113" s="26">
        <f t="shared" si="60"/>
        <v>275852.16000000003</v>
      </c>
      <c r="Q113" s="26">
        <v>250000</v>
      </c>
      <c r="R113" s="26">
        <f>16426.08+13301.08</f>
        <v>29727.160000000003</v>
      </c>
      <c r="S113" s="26">
        <f t="shared" si="61"/>
        <v>279727.16000000003</v>
      </c>
      <c r="T113" s="26">
        <v>255000</v>
      </c>
      <c r="U113" s="26">
        <f>13301.08+10113.58</f>
        <v>23414.66</v>
      </c>
      <c r="V113" s="26">
        <f t="shared" si="62"/>
        <v>278414.65999999997</v>
      </c>
      <c r="W113" s="26">
        <v>260000</v>
      </c>
      <c r="X113" s="26">
        <f>10113.58+6863.58</f>
        <v>16977.16</v>
      </c>
      <c r="Y113" s="26">
        <f t="shared" si="63"/>
        <v>276977.15999999997</v>
      </c>
      <c r="Z113" s="26">
        <v>270000</v>
      </c>
      <c r="AA113" s="26">
        <f>6863.58+3488.58</f>
        <v>10352.16</v>
      </c>
      <c r="AB113" s="26">
        <f t="shared" si="64"/>
        <v>280352.15999999997</v>
      </c>
      <c r="AC113" s="26">
        <v>279086</v>
      </c>
      <c r="AD113" s="26">
        <f>3488.58</f>
        <v>3488.58</v>
      </c>
      <c r="AE113" s="26">
        <f t="shared" si="65"/>
        <v>282574.58</v>
      </c>
      <c r="AF113" s="26">
        <v>0</v>
      </c>
      <c r="AG113" s="26">
        <v>0</v>
      </c>
      <c r="AH113" s="26">
        <f t="shared" si="66"/>
        <v>0</v>
      </c>
      <c r="AI113" s="26">
        <v>0</v>
      </c>
      <c r="AJ113" s="26">
        <v>0</v>
      </c>
      <c r="AK113" s="26">
        <f>SUM(AI113:AJ113)</f>
        <v>0</v>
      </c>
      <c r="AL113" s="26">
        <v>0</v>
      </c>
      <c r="AM113" s="26">
        <v>0</v>
      </c>
      <c r="AN113" s="26">
        <f t="shared" si="67"/>
        <v>0</v>
      </c>
      <c r="AO113" s="26">
        <v>0</v>
      </c>
      <c r="AP113" s="26">
        <v>0</v>
      </c>
      <c r="AQ113" s="26">
        <f t="shared" si="68"/>
        <v>0</v>
      </c>
      <c r="AR113" s="26">
        <v>0</v>
      </c>
      <c r="AS113" s="26">
        <v>0</v>
      </c>
      <c r="AT113" s="26">
        <f t="shared" ref="AT113:AT119" si="73">SUM(AR113:AS113)</f>
        <v>0</v>
      </c>
      <c r="AU113" s="26">
        <v>0</v>
      </c>
      <c r="AV113" s="26">
        <v>0</v>
      </c>
      <c r="AW113" s="26">
        <f t="shared" ref="AW113:AW118" si="74">SUM(AU113:AV113)</f>
        <v>0</v>
      </c>
      <c r="AX113" s="26">
        <v>0</v>
      </c>
      <c r="AY113" s="26">
        <v>0</v>
      </c>
      <c r="AZ113" s="26">
        <f t="shared" ref="AZ113:AZ118" si="75">SUM(AX113:AY113)</f>
        <v>0</v>
      </c>
      <c r="BA113" s="26">
        <v>0</v>
      </c>
      <c r="BB113" s="26">
        <v>0</v>
      </c>
      <c r="BC113" s="26">
        <f t="shared" ref="BC113:BC118" si="76">SUM(BA113:BB113)</f>
        <v>0</v>
      </c>
      <c r="BD113" s="26">
        <v>0</v>
      </c>
      <c r="BE113" s="26">
        <v>0</v>
      </c>
      <c r="BF113" s="26">
        <f t="shared" ref="BF113:BF118" si="77">SUM(BD113:BE113)</f>
        <v>0</v>
      </c>
      <c r="BG113" s="26">
        <v>0</v>
      </c>
      <c r="BH113" s="26">
        <v>0</v>
      </c>
      <c r="BI113" s="26">
        <f t="shared" ref="BI113:BI118" si="78">SUM(BG113:BH113)</f>
        <v>0</v>
      </c>
      <c r="BJ113" s="26">
        <v>0</v>
      </c>
      <c r="BK113" s="26">
        <v>0</v>
      </c>
      <c r="BL113" s="26">
        <f t="shared" ref="BL113:BL118" si="79">SUM(BJ113:BK113)</f>
        <v>0</v>
      </c>
      <c r="BM113" s="26">
        <v>0</v>
      </c>
      <c r="BN113" s="26">
        <v>0</v>
      </c>
      <c r="BO113" s="26">
        <f t="shared" ref="BO113:BO118" si="80">SUM(BM113:BN113)</f>
        <v>0</v>
      </c>
      <c r="BP113" s="26">
        <v>0</v>
      </c>
      <c r="BQ113" s="26">
        <v>0</v>
      </c>
      <c r="BR113" s="26">
        <f t="shared" ref="BR113:BR118" si="81">SUM(BP113:BQ113)</f>
        <v>0</v>
      </c>
      <c r="BS113" s="26">
        <v>0</v>
      </c>
      <c r="BT113" s="26">
        <v>0</v>
      </c>
      <c r="BU113" s="26">
        <f t="shared" ref="BU113:BU118" si="82">SUM(BS113:BT113)</f>
        <v>0</v>
      </c>
      <c r="BV113" s="5">
        <f t="shared" si="69"/>
        <v>1784086</v>
      </c>
      <c r="BW113" s="5">
        <f t="shared" si="70"/>
        <v>161539.04</v>
      </c>
      <c r="BX113" s="4">
        <f>SUM(BV113:BW113)</f>
        <v>1945625.04</v>
      </c>
      <c r="BY113" s="5">
        <f>4329086-175000-180000-175000-180000-185000-185000-190000-200000-205000-210000-215000-220000-225000</f>
        <v>1784086</v>
      </c>
      <c r="BZ113" s="5">
        <f>1253189.86-6517.2-27018.58-48537.53-50841.71-51457.03-51790.11-49614.89-49676.08-47488.58-47488.58-45238.58-45238.58-42926.08-42926.08-40613.58-40613.58-38238.58-38238.58-35738.58-35738.58-33176.08-33176.08-30551.08-30551.08-27863.58-27863.58-25113.58-25113.58-22301.08</f>
        <v>161539.05000000028</v>
      </c>
      <c r="CA113" s="5">
        <f t="shared" si="71"/>
        <v>1945625.0500000003</v>
      </c>
      <c r="CB113" s="5">
        <f t="shared" si="72"/>
        <v>-1.0000000242143869E-2</v>
      </c>
    </row>
    <row r="114" spans="1:80" hidden="1">
      <c r="A114" s="5" t="s">
        <v>36</v>
      </c>
      <c r="F114" s="1"/>
      <c r="G114" s="31"/>
      <c r="H114" s="26">
        <v>545000</v>
      </c>
      <c r="I114" s="26">
        <f>67713.24+60900.74</f>
        <v>128613.98000000001</v>
      </c>
      <c r="J114" s="26">
        <f t="shared" si="58"/>
        <v>673613.98</v>
      </c>
      <c r="K114" s="26">
        <v>560000</v>
      </c>
      <c r="L114" s="26">
        <f>60900.74+53900.74</f>
        <v>114801.48</v>
      </c>
      <c r="M114" s="26">
        <f t="shared" si="59"/>
        <v>674801.48</v>
      </c>
      <c r="N114" s="26">
        <v>575000</v>
      </c>
      <c r="O114" s="26">
        <f>53900.74+46713.24</f>
        <v>100613.98</v>
      </c>
      <c r="P114" s="26">
        <f t="shared" si="60"/>
        <v>675613.98</v>
      </c>
      <c r="Q114" s="26">
        <v>585000</v>
      </c>
      <c r="R114" s="26">
        <f>46713.24+39400.74</f>
        <v>86113.98</v>
      </c>
      <c r="S114" s="26">
        <f t="shared" si="61"/>
        <v>671113.98</v>
      </c>
      <c r="T114" s="26">
        <v>600000</v>
      </c>
      <c r="U114" s="26">
        <f>39400.74+31900.74</f>
        <v>71301.48</v>
      </c>
      <c r="V114" s="26">
        <f t="shared" si="62"/>
        <v>671301.48</v>
      </c>
      <c r="W114" s="26">
        <v>615000</v>
      </c>
      <c r="X114" s="26">
        <f>31900.74+24213.24</f>
        <v>56113.98</v>
      </c>
      <c r="Y114" s="26">
        <f t="shared" si="63"/>
        <v>671113.98</v>
      </c>
      <c r="Z114" s="26">
        <v>630000</v>
      </c>
      <c r="AA114" s="26">
        <f>24213.24+16338.24</f>
        <v>40551.480000000003</v>
      </c>
      <c r="AB114" s="26">
        <f t="shared" si="64"/>
        <v>670551.48</v>
      </c>
      <c r="AC114" s="26">
        <v>645000</v>
      </c>
      <c r="AD114" s="26">
        <f>16338.24+8275.74</f>
        <v>24613.98</v>
      </c>
      <c r="AE114" s="26">
        <f t="shared" si="65"/>
        <v>669613.98</v>
      </c>
      <c r="AF114" s="26">
        <v>662059</v>
      </c>
      <c r="AG114" s="26">
        <v>8275.74</v>
      </c>
      <c r="AH114" s="26">
        <f t="shared" si="66"/>
        <v>670334.74</v>
      </c>
      <c r="AI114" s="26">
        <v>0</v>
      </c>
      <c r="AJ114" s="26">
        <v>0</v>
      </c>
      <c r="AK114" s="26">
        <v>0</v>
      </c>
      <c r="AL114" s="26">
        <v>0</v>
      </c>
      <c r="AM114" s="26">
        <v>0</v>
      </c>
      <c r="AN114" s="26">
        <f t="shared" si="67"/>
        <v>0</v>
      </c>
      <c r="AO114" s="26">
        <v>0</v>
      </c>
      <c r="AP114" s="26">
        <v>0</v>
      </c>
      <c r="AQ114" s="26">
        <f t="shared" si="68"/>
        <v>0</v>
      </c>
      <c r="AR114" s="26">
        <v>0</v>
      </c>
      <c r="AS114" s="26">
        <v>0</v>
      </c>
      <c r="AT114" s="26">
        <f t="shared" si="73"/>
        <v>0</v>
      </c>
      <c r="AU114" s="26">
        <v>0</v>
      </c>
      <c r="AV114" s="26">
        <v>0</v>
      </c>
      <c r="AW114" s="26">
        <f t="shared" si="74"/>
        <v>0</v>
      </c>
      <c r="AX114" s="26">
        <v>0</v>
      </c>
      <c r="AY114" s="26">
        <v>0</v>
      </c>
      <c r="AZ114" s="26">
        <f t="shared" si="75"/>
        <v>0</v>
      </c>
      <c r="BA114" s="26">
        <v>0</v>
      </c>
      <c r="BB114" s="26">
        <v>0</v>
      </c>
      <c r="BC114" s="26">
        <f t="shared" si="76"/>
        <v>0</v>
      </c>
      <c r="BD114" s="26">
        <v>0</v>
      </c>
      <c r="BE114" s="26">
        <v>0</v>
      </c>
      <c r="BF114" s="26">
        <f t="shared" si="77"/>
        <v>0</v>
      </c>
      <c r="BG114" s="26">
        <v>0</v>
      </c>
      <c r="BH114" s="26">
        <v>0</v>
      </c>
      <c r="BI114" s="26">
        <f t="shared" si="78"/>
        <v>0</v>
      </c>
      <c r="BJ114" s="26">
        <v>0</v>
      </c>
      <c r="BK114" s="26">
        <v>0</v>
      </c>
      <c r="BL114" s="26">
        <f t="shared" si="79"/>
        <v>0</v>
      </c>
      <c r="BM114" s="26">
        <v>0</v>
      </c>
      <c r="BN114" s="26">
        <v>0</v>
      </c>
      <c r="BO114" s="26">
        <f t="shared" si="80"/>
        <v>0</v>
      </c>
      <c r="BP114" s="26">
        <v>0</v>
      </c>
      <c r="BQ114" s="26">
        <v>0</v>
      </c>
      <c r="BR114" s="26">
        <f t="shared" si="81"/>
        <v>0</v>
      </c>
      <c r="BS114" s="26">
        <v>0</v>
      </c>
      <c r="BT114" s="26">
        <v>0</v>
      </c>
      <c r="BU114" s="26">
        <f t="shared" si="82"/>
        <v>0</v>
      </c>
      <c r="BV114" s="5">
        <f t="shared" si="69"/>
        <v>4872059</v>
      </c>
      <c r="BW114" s="5">
        <f t="shared" si="70"/>
        <v>502386.09999999992</v>
      </c>
      <c r="BX114" s="4">
        <f t="shared" ref="BX114:BX120" si="83">SUM(BV114:BW114)</f>
        <v>5374445.0999999996</v>
      </c>
      <c r="BY114" s="5">
        <f>10612059-435000-420000-435000-445000-455000-470000-480000-495000-510000-520000-530000-545000</f>
        <v>4872059</v>
      </c>
      <c r="BZ114" s="5">
        <f>3195501.17-6173.61-37783.52-74538.56-88897.22-124219.05-131551.49-126703.18-127082.89-121963.24-121963.24-116525.74-116525.74-110963.24-110963.24-105275.74-105275.74-99400.74-99400.74-93400.74-93400.74-87213.24-87213.24-80838.24-80838.24-74338.24-74338.24-67713.24-67713.24-60900.74</f>
        <v>502386.10999999894</v>
      </c>
      <c r="CA114" s="5">
        <f t="shared" si="71"/>
        <v>5374445.1099999994</v>
      </c>
      <c r="CB114" s="5">
        <f t="shared" si="72"/>
        <v>-9.9999997764825821E-3</v>
      </c>
    </row>
    <row r="115" spans="1:80" hidden="1">
      <c r="A115" s="5" t="s">
        <v>37</v>
      </c>
      <c r="F115" s="1"/>
      <c r="G115" s="31"/>
      <c r="H115" s="26">
        <v>640000</v>
      </c>
      <c r="I115" s="26">
        <f>69687.5*2</f>
        <v>139375</v>
      </c>
      <c r="J115" s="26">
        <f t="shared" si="58"/>
        <v>779375</v>
      </c>
      <c r="K115" s="26">
        <v>655000</v>
      </c>
      <c r="L115" s="26">
        <f>61687.5*2</f>
        <v>123375</v>
      </c>
      <c r="M115" s="26">
        <f t="shared" si="59"/>
        <v>778375</v>
      </c>
      <c r="N115" s="26">
        <v>670000</v>
      </c>
      <c r="O115" s="26">
        <f>53500*2</f>
        <v>107000</v>
      </c>
      <c r="P115" s="26">
        <f t="shared" si="60"/>
        <v>777000</v>
      </c>
      <c r="Q115" s="26">
        <v>685000</v>
      </c>
      <c r="R115" s="26">
        <f>45125*2</f>
        <v>90250</v>
      </c>
      <c r="S115" s="26">
        <f t="shared" si="61"/>
        <v>775250</v>
      </c>
      <c r="T115" s="26">
        <v>705000</v>
      </c>
      <c r="U115" s="26">
        <f>36562.5*2</f>
        <v>73125</v>
      </c>
      <c r="V115" s="26">
        <f t="shared" si="62"/>
        <v>778125</v>
      </c>
      <c r="W115" s="26">
        <v>720000</v>
      </c>
      <c r="X115" s="26">
        <f>27750*2</f>
        <v>55500</v>
      </c>
      <c r="Y115" s="26">
        <f t="shared" si="63"/>
        <v>775500</v>
      </c>
      <c r="Z115" s="26">
        <v>740000</v>
      </c>
      <c r="AA115" s="26">
        <f>18750*2</f>
        <v>37500</v>
      </c>
      <c r="AB115" s="26">
        <f t="shared" si="64"/>
        <v>777500</v>
      </c>
      <c r="AC115" s="26">
        <v>760000</v>
      </c>
      <c r="AD115" s="26">
        <f>9500*2</f>
        <v>19000</v>
      </c>
      <c r="AE115" s="26">
        <f t="shared" si="65"/>
        <v>779000</v>
      </c>
      <c r="AF115" s="26">
        <v>0</v>
      </c>
      <c r="AG115" s="26">
        <v>0</v>
      </c>
      <c r="AH115" s="26">
        <f t="shared" si="66"/>
        <v>0</v>
      </c>
      <c r="AI115" s="26">
        <v>0</v>
      </c>
      <c r="AJ115" s="26">
        <v>0</v>
      </c>
      <c r="AK115" s="26">
        <v>0</v>
      </c>
      <c r="AL115" s="26">
        <v>0</v>
      </c>
      <c r="AM115" s="26">
        <v>0</v>
      </c>
      <c r="AN115" s="26">
        <f t="shared" si="67"/>
        <v>0</v>
      </c>
      <c r="AO115" s="26">
        <v>0</v>
      </c>
      <c r="AP115" s="26">
        <v>0</v>
      </c>
      <c r="AQ115" s="26">
        <f t="shared" si="68"/>
        <v>0</v>
      </c>
      <c r="AR115" s="26">
        <v>0</v>
      </c>
      <c r="AS115" s="26">
        <v>0</v>
      </c>
      <c r="AT115" s="26">
        <f t="shared" si="73"/>
        <v>0</v>
      </c>
      <c r="AU115" s="26">
        <v>0</v>
      </c>
      <c r="AV115" s="26">
        <v>0</v>
      </c>
      <c r="AW115" s="26">
        <f t="shared" si="74"/>
        <v>0</v>
      </c>
      <c r="AX115" s="26">
        <v>0</v>
      </c>
      <c r="AY115" s="26">
        <v>0</v>
      </c>
      <c r="AZ115" s="26">
        <f t="shared" si="75"/>
        <v>0</v>
      </c>
      <c r="BA115" s="26">
        <v>0</v>
      </c>
      <c r="BB115" s="26">
        <v>0</v>
      </c>
      <c r="BC115" s="26">
        <f t="shared" si="76"/>
        <v>0</v>
      </c>
      <c r="BD115" s="26">
        <v>0</v>
      </c>
      <c r="BE115" s="26">
        <v>0</v>
      </c>
      <c r="BF115" s="26">
        <f t="shared" si="77"/>
        <v>0</v>
      </c>
      <c r="BG115" s="26">
        <v>0</v>
      </c>
      <c r="BH115" s="26">
        <v>0</v>
      </c>
      <c r="BI115" s="26">
        <f t="shared" si="78"/>
        <v>0</v>
      </c>
      <c r="BJ115" s="26">
        <v>0</v>
      </c>
      <c r="BK115" s="26">
        <v>0</v>
      </c>
      <c r="BL115" s="26">
        <f t="shared" si="79"/>
        <v>0</v>
      </c>
      <c r="BM115" s="26">
        <v>0</v>
      </c>
      <c r="BN115" s="26">
        <v>0</v>
      </c>
      <c r="BO115" s="26">
        <f t="shared" si="80"/>
        <v>0</v>
      </c>
      <c r="BP115" s="26">
        <v>0</v>
      </c>
      <c r="BQ115" s="26">
        <v>0</v>
      </c>
      <c r="BR115" s="26">
        <f t="shared" si="81"/>
        <v>0</v>
      </c>
      <c r="BS115" s="26">
        <v>0</v>
      </c>
      <c r="BT115" s="26">
        <v>0</v>
      </c>
      <c r="BU115" s="26">
        <f t="shared" si="82"/>
        <v>0</v>
      </c>
      <c r="BV115" s="5">
        <f t="shared" si="69"/>
        <v>4935000</v>
      </c>
      <c r="BW115" s="5">
        <f t="shared" si="70"/>
        <v>505750</v>
      </c>
      <c r="BX115" s="4">
        <f>SUM(BV115:BW115)</f>
        <v>5440750</v>
      </c>
      <c r="BY115" s="5">
        <f>12115000-475000-485000-500000-510000-525000-535000-550000-565000-580000-590000-605000-620000-640000</f>
        <v>4935000</v>
      </c>
      <c r="BZ115" s="5">
        <f>3545704.11-8303.55-36065.38-108692.9-131542.06-140179.01-140294.85-146751.36-139437.5-139437.5-133187.5-133187.5-126812.5-126812.5-120250-120250-113562.5-113562.5-106687.5-106687.5-99625-99625-92375-92375-85000-85000-77437.5-77437.5-69687.5-69687.5</f>
        <v>505750</v>
      </c>
      <c r="CA115" s="5">
        <f t="shared" si="71"/>
        <v>5440750</v>
      </c>
      <c r="CB115" s="5">
        <f t="shared" si="72"/>
        <v>0</v>
      </c>
    </row>
    <row r="116" spans="1:80" hidden="1">
      <c r="A116" s="5" t="s">
        <v>38</v>
      </c>
      <c r="F116" s="1"/>
      <c r="G116" s="31"/>
      <c r="H116" s="26">
        <v>235000</v>
      </c>
      <c r="I116" s="26">
        <f>22062.5*2</f>
        <v>44125</v>
      </c>
      <c r="J116" s="26">
        <f t="shared" si="58"/>
        <v>279125</v>
      </c>
      <c r="K116" s="26">
        <v>240000</v>
      </c>
      <c r="L116" s="26">
        <f>19125*2</f>
        <v>38250</v>
      </c>
      <c r="M116" s="26">
        <f t="shared" si="59"/>
        <v>278250</v>
      </c>
      <c r="N116" s="26">
        <v>245000</v>
      </c>
      <c r="O116" s="26">
        <f>16125*2</f>
        <v>32250</v>
      </c>
      <c r="P116" s="26">
        <f t="shared" si="60"/>
        <v>277250</v>
      </c>
      <c r="Q116" s="26">
        <v>250000</v>
      </c>
      <c r="R116" s="26">
        <f>13062.5*2</f>
        <v>26125</v>
      </c>
      <c r="S116" s="26">
        <f t="shared" si="61"/>
        <v>276125</v>
      </c>
      <c r="T116" s="26">
        <v>260000</v>
      </c>
      <c r="U116" s="26">
        <f>9937.5*2</f>
        <v>19875</v>
      </c>
      <c r="V116" s="26">
        <f t="shared" si="62"/>
        <v>279875</v>
      </c>
      <c r="W116" s="26">
        <v>265000</v>
      </c>
      <c r="X116" s="26">
        <f>6687.5*2</f>
        <v>13375</v>
      </c>
      <c r="Y116" s="26">
        <f t="shared" si="63"/>
        <v>278375</v>
      </c>
      <c r="Z116" s="26">
        <v>270000</v>
      </c>
      <c r="AA116" s="26">
        <f>3375*2</f>
        <v>6750</v>
      </c>
      <c r="AB116" s="26">
        <f t="shared" si="64"/>
        <v>276750</v>
      </c>
      <c r="AC116" s="26">
        <v>0</v>
      </c>
      <c r="AD116" s="26">
        <v>0</v>
      </c>
      <c r="AE116" s="26">
        <f t="shared" si="65"/>
        <v>0</v>
      </c>
      <c r="AF116" s="26">
        <v>0</v>
      </c>
      <c r="AG116" s="26">
        <v>0</v>
      </c>
      <c r="AH116" s="26">
        <f t="shared" si="66"/>
        <v>0</v>
      </c>
      <c r="AI116" s="26">
        <v>0</v>
      </c>
      <c r="AJ116" s="26">
        <v>0</v>
      </c>
      <c r="AK116" s="26">
        <f t="shared" ref="AK116:AK121" si="84">SUM(AI116:AJ116)</f>
        <v>0</v>
      </c>
      <c r="AL116" s="26">
        <v>0</v>
      </c>
      <c r="AM116" s="26">
        <v>0</v>
      </c>
      <c r="AN116" s="26">
        <f t="shared" si="67"/>
        <v>0</v>
      </c>
      <c r="AO116" s="26">
        <v>0</v>
      </c>
      <c r="AP116" s="26">
        <v>0</v>
      </c>
      <c r="AQ116" s="26">
        <f t="shared" si="68"/>
        <v>0</v>
      </c>
      <c r="AR116" s="26">
        <v>0</v>
      </c>
      <c r="AS116" s="26">
        <v>0</v>
      </c>
      <c r="AT116" s="26">
        <f t="shared" si="73"/>
        <v>0</v>
      </c>
      <c r="AU116" s="26">
        <v>0</v>
      </c>
      <c r="AV116" s="26">
        <v>0</v>
      </c>
      <c r="AW116" s="26">
        <f t="shared" si="74"/>
        <v>0</v>
      </c>
      <c r="AX116" s="26">
        <v>0</v>
      </c>
      <c r="AY116" s="26">
        <v>0</v>
      </c>
      <c r="AZ116" s="26">
        <f t="shared" si="75"/>
        <v>0</v>
      </c>
      <c r="BA116" s="26">
        <v>0</v>
      </c>
      <c r="BB116" s="26">
        <v>0</v>
      </c>
      <c r="BC116" s="26">
        <f t="shared" si="76"/>
        <v>0</v>
      </c>
      <c r="BD116" s="26">
        <v>0</v>
      </c>
      <c r="BE116" s="26">
        <v>0</v>
      </c>
      <c r="BF116" s="26">
        <f t="shared" si="77"/>
        <v>0</v>
      </c>
      <c r="BG116" s="26">
        <v>0</v>
      </c>
      <c r="BH116" s="26">
        <v>0</v>
      </c>
      <c r="BI116" s="26">
        <f t="shared" si="78"/>
        <v>0</v>
      </c>
      <c r="BJ116" s="26">
        <v>0</v>
      </c>
      <c r="BK116" s="26">
        <v>0</v>
      </c>
      <c r="BL116" s="26">
        <f t="shared" si="79"/>
        <v>0</v>
      </c>
      <c r="BM116" s="26">
        <v>0</v>
      </c>
      <c r="BN116" s="26">
        <v>0</v>
      </c>
      <c r="BO116" s="26">
        <f t="shared" si="80"/>
        <v>0</v>
      </c>
      <c r="BP116" s="26">
        <v>0</v>
      </c>
      <c r="BQ116" s="26">
        <v>0</v>
      </c>
      <c r="BR116" s="26">
        <f t="shared" si="81"/>
        <v>0</v>
      </c>
      <c r="BS116" s="26">
        <v>0</v>
      </c>
      <c r="BT116" s="26">
        <v>0</v>
      </c>
      <c r="BU116" s="26">
        <f t="shared" si="82"/>
        <v>0</v>
      </c>
      <c r="BV116" s="5">
        <f t="shared" si="69"/>
        <v>1530000</v>
      </c>
      <c r="BW116" s="5">
        <f t="shared" si="70"/>
        <v>136625</v>
      </c>
      <c r="BX116" s="4">
        <f t="shared" si="83"/>
        <v>1666625</v>
      </c>
      <c r="BY116" s="5">
        <f>4330000-170000-175000-180000-185000-185000-190000-195000-200000-205000-210000-215000-225000-230000-235000</f>
        <v>1530000</v>
      </c>
      <c r="BZ116" s="5">
        <f>1218002.99-13590.69-33024.32-54512.98-52000-52000-49812.5-49812.5-47562.5-47562.5-45250-45250-42937.5-42937.5-40562.5-40562.5-38125-38125-35625-35625-33062.5-33062.5-30437.5-30437.5-27750-27750-24937.5-24937.5-22062.5-22062.5</f>
        <v>136625</v>
      </c>
      <c r="CA116" s="5">
        <f t="shared" si="71"/>
        <v>1666625</v>
      </c>
      <c r="CB116" s="5">
        <f t="shared" si="72"/>
        <v>0</v>
      </c>
    </row>
    <row r="117" spans="1:80" hidden="1">
      <c r="A117" s="5" t="s">
        <v>44</v>
      </c>
      <c r="F117" s="1"/>
      <c r="G117" s="31"/>
      <c r="H117" s="26">
        <v>670000</v>
      </c>
      <c r="I117" s="26">
        <f>104887.38*2</f>
        <v>209774.76</v>
      </c>
      <c r="J117" s="26">
        <f t="shared" si="58"/>
        <v>879774.76</v>
      </c>
      <c r="K117" s="26">
        <v>690000</v>
      </c>
      <c r="L117" s="26">
        <f>96512.38*2</f>
        <v>193024.76</v>
      </c>
      <c r="M117" s="26">
        <f t="shared" si="59"/>
        <v>883024.76</v>
      </c>
      <c r="N117" s="26">
        <v>705000</v>
      </c>
      <c r="O117" s="26">
        <f>87887.38*2</f>
        <v>175774.76</v>
      </c>
      <c r="P117" s="26">
        <f t="shared" si="60"/>
        <v>880774.76</v>
      </c>
      <c r="Q117" s="26">
        <v>725000</v>
      </c>
      <c r="R117" s="26">
        <f>79074.88*2</f>
        <v>158149.76000000001</v>
      </c>
      <c r="S117" s="26">
        <f t="shared" si="61"/>
        <v>883149.76</v>
      </c>
      <c r="T117" s="26">
        <v>740000</v>
      </c>
      <c r="U117" s="26">
        <f>70012.38*2</f>
        <v>140024.76</v>
      </c>
      <c r="V117" s="26">
        <f t="shared" si="62"/>
        <v>880024.76</v>
      </c>
      <c r="W117" s="26">
        <v>760000</v>
      </c>
      <c r="X117" s="26">
        <f>60762.38*2</f>
        <v>121524.76</v>
      </c>
      <c r="Y117" s="26">
        <f t="shared" si="63"/>
        <v>881524.76</v>
      </c>
      <c r="Z117" s="26">
        <v>780000</v>
      </c>
      <c r="AA117" s="26">
        <f>51262.38*2</f>
        <v>102524.76</v>
      </c>
      <c r="AB117" s="26">
        <f t="shared" si="64"/>
        <v>882524.76</v>
      </c>
      <c r="AC117" s="26">
        <v>800000</v>
      </c>
      <c r="AD117" s="26">
        <f>41512.38*2</f>
        <v>83024.759999999995</v>
      </c>
      <c r="AE117" s="26">
        <f t="shared" si="65"/>
        <v>883024.76</v>
      </c>
      <c r="AF117" s="26">
        <v>820000</v>
      </c>
      <c r="AG117" s="26">
        <f>31512.38*2</f>
        <v>63024.76</v>
      </c>
      <c r="AH117" s="26">
        <f t="shared" si="66"/>
        <v>883024.76</v>
      </c>
      <c r="AI117" s="26">
        <v>840000</v>
      </c>
      <c r="AJ117" s="26">
        <f>21262.38*2</f>
        <v>42524.76</v>
      </c>
      <c r="AK117" s="26">
        <f t="shared" si="84"/>
        <v>882524.76</v>
      </c>
      <c r="AL117" s="26">
        <v>860990</v>
      </c>
      <c r="AM117" s="26">
        <f>10762.38*2</f>
        <v>21524.76</v>
      </c>
      <c r="AN117" s="26">
        <f t="shared" si="67"/>
        <v>882514.76</v>
      </c>
      <c r="AO117" s="26">
        <v>0</v>
      </c>
      <c r="AP117" s="26">
        <v>0</v>
      </c>
      <c r="AQ117" s="26">
        <f t="shared" si="68"/>
        <v>0</v>
      </c>
      <c r="AR117" s="26">
        <v>0</v>
      </c>
      <c r="AS117" s="26">
        <v>0</v>
      </c>
      <c r="AT117" s="26">
        <f t="shared" si="73"/>
        <v>0</v>
      </c>
      <c r="AU117" s="26">
        <v>0</v>
      </c>
      <c r="AV117" s="26">
        <v>0</v>
      </c>
      <c r="AW117" s="26">
        <f t="shared" si="74"/>
        <v>0</v>
      </c>
      <c r="AX117" s="26">
        <v>0</v>
      </c>
      <c r="AY117" s="26">
        <v>0</v>
      </c>
      <c r="AZ117" s="26">
        <f t="shared" si="75"/>
        <v>0</v>
      </c>
      <c r="BA117" s="26">
        <v>0</v>
      </c>
      <c r="BB117" s="26">
        <v>0</v>
      </c>
      <c r="BC117" s="26">
        <f t="shared" si="76"/>
        <v>0</v>
      </c>
      <c r="BD117" s="26">
        <v>0</v>
      </c>
      <c r="BE117" s="26">
        <v>0</v>
      </c>
      <c r="BF117" s="26">
        <f t="shared" si="77"/>
        <v>0</v>
      </c>
      <c r="BG117" s="26">
        <v>0</v>
      </c>
      <c r="BH117" s="26">
        <v>0</v>
      </c>
      <c r="BI117" s="26">
        <f t="shared" si="78"/>
        <v>0</v>
      </c>
      <c r="BJ117" s="26">
        <v>0</v>
      </c>
      <c r="BK117" s="26">
        <v>0</v>
      </c>
      <c r="BL117" s="26">
        <f t="shared" si="79"/>
        <v>0</v>
      </c>
      <c r="BM117" s="26">
        <v>0</v>
      </c>
      <c r="BN117" s="26">
        <v>0</v>
      </c>
      <c r="BO117" s="26">
        <f t="shared" si="80"/>
        <v>0</v>
      </c>
      <c r="BP117" s="26">
        <v>0</v>
      </c>
      <c r="BQ117" s="26">
        <v>0</v>
      </c>
      <c r="BR117" s="26">
        <f t="shared" si="81"/>
        <v>0</v>
      </c>
      <c r="BS117" s="26">
        <v>0</v>
      </c>
      <c r="BT117" s="26">
        <v>0</v>
      </c>
      <c r="BU117" s="26">
        <f t="shared" si="82"/>
        <v>0</v>
      </c>
      <c r="BV117" s="5">
        <f t="shared" si="69"/>
        <v>7720990</v>
      </c>
      <c r="BW117" s="5">
        <f t="shared" si="70"/>
        <v>1101122.6000000001</v>
      </c>
      <c r="BX117" s="4">
        <f t="shared" si="83"/>
        <v>8822112.5999999996</v>
      </c>
      <c r="BY117" s="5">
        <f>13780990-555000-565000-565000-580000-595000-610000-625000-640000-655000-670000</f>
        <v>7720990</v>
      </c>
      <c r="BZ117" s="5">
        <f>4039156.43-14000.17-33168.77-122966.58-154436.68-168638.25-164510.46-164614.86-158262.38-158262.38-151199.88-151199.88-143949.88-143949.88-136512.38-136512.38-128887.38-128887.38-121074.88-121074.88-113074.88-113074.88-104887.38-104887.38</f>
        <v>1101122.5800000019</v>
      </c>
      <c r="CA117" s="5">
        <f t="shared" si="71"/>
        <v>8822112.5800000019</v>
      </c>
      <c r="CB117" s="5">
        <f t="shared" si="72"/>
        <v>1.9999997690320015E-2</v>
      </c>
    </row>
    <row r="118" spans="1:80" hidden="1">
      <c r="A118" s="5" t="s">
        <v>61</v>
      </c>
      <c r="F118" s="1"/>
      <c r="G118" s="1"/>
      <c r="H118" s="26">
        <v>505000</v>
      </c>
      <c r="I118" s="26">
        <f>74528.06*2</f>
        <v>149056.12</v>
      </c>
      <c r="J118" s="26">
        <f t="shared" si="58"/>
        <v>654056.12</v>
      </c>
      <c r="K118" s="26">
        <v>520000</v>
      </c>
      <c r="L118" s="26">
        <f>69478.06*2</f>
        <v>138956.12</v>
      </c>
      <c r="M118" s="26">
        <f t="shared" si="59"/>
        <v>658956.12</v>
      </c>
      <c r="N118" s="26">
        <v>530000</v>
      </c>
      <c r="O118" s="26">
        <f>64278.06*2</f>
        <v>128556.12</v>
      </c>
      <c r="P118" s="26">
        <f t="shared" si="60"/>
        <v>658556.12</v>
      </c>
      <c r="Q118" s="26">
        <v>540000</v>
      </c>
      <c r="R118" s="26">
        <f>58978.06*2</f>
        <v>117956.12</v>
      </c>
      <c r="S118" s="26">
        <f t="shared" si="61"/>
        <v>657956.12</v>
      </c>
      <c r="T118" s="26">
        <v>550000</v>
      </c>
      <c r="U118" s="26">
        <f>53578.06*2</f>
        <v>107156.12</v>
      </c>
      <c r="V118" s="26">
        <f t="shared" si="62"/>
        <v>657156.12</v>
      </c>
      <c r="W118" s="26">
        <v>560000</v>
      </c>
      <c r="X118" s="26">
        <f>48078.06*2</f>
        <v>96156.12</v>
      </c>
      <c r="Y118" s="26">
        <f t="shared" si="63"/>
        <v>656156.12</v>
      </c>
      <c r="Z118" s="26">
        <v>570000</v>
      </c>
      <c r="AA118" s="26">
        <f>42478.06*2</f>
        <v>84956.12</v>
      </c>
      <c r="AB118" s="26">
        <f t="shared" si="64"/>
        <v>654956.12</v>
      </c>
      <c r="AC118" s="26">
        <v>585000</v>
      </c>
      <c r="AD118" s="26">
        <f>36778.06*2</f>
        <v>73556.12</v>
      </c>
      <c r="AE118" s="26">
        <f t="shared" si="65"/>
        <v>658556.12</v>
      </c>
      <c r="AF118" s="26">
        <v>595000</v>
      </c>
      <c r="AG118" s="26">
        <f>30928.06*2</f>
        <v>61856.12</v>
      </c>
      <c r="AH118" s="26">
        <f t="shared" si="66"/>
        <v>656856.12</v>
      </c>
      <c r="AI118" s="26">
        <v>605000</v>
      </c>
      <c r="AJ118" s="26">
        <f>24978.06*2</f>
        <v>49956.12</v>
      </c>
      <c r="AK118" s="26">
        <f t="shared" si="84"/>
        <v>654956.12</v>
      </c>
      <c r="AL118" s="26">
        <v>620000</v>
      </c>
      <c r="AM118" s="26">
        <f>18928.06*2</f>
        <v>37856.120000000003</v>
      </c>
      <c r="AN118" s="26">
        <f t="shared" si="67"/>
        <v>657856.12</v>
      </c>
      <c r="AO118" s="26">
        <v>630000</v>
      </c>
      <c r="AP118" s="26">
        <f>12728.06*2</f>
        <v>25456.12</v>
      </c>
      <c r="AQ118" s="26">
        <f t="shared" si="68"/>
        <v>655456.12</v>
      </c>
      <c r="AR118" s="26">
        <v>642806</v>
      </c>
      <c r="AS118" s="26">
        <f>6428.06*2</f>
        <v>12856.12</v>
      </c>
      <c r="AT118" s="26">
        <f t="shared" si="73"/>
        <v>655662.12</v>
      </c>
      <c r="AU118" s="26">
        <v>0</v>
      </c>
      <c r="AV118" s="26">
        <v>0</v>
      </c>
      <c r="AW118" s="26">
        <f t="shared" si="74"/>
        <v>0</v>
      </c>
      <c r="AX118" s="26">
        <v>0</v>
      </c>
      <c r="AY118" s="26">
        <v>0</v>
      </c>
      <c r="AZ118" s="26">
        <f t="shared" si="75"/>
        <v>0</v>
      </c>
      <c r="BA118" s="26">
        <v>0</v>
      </c>
      <c r="BB118" s="26">
        <v>0</v>
      </c>
      <c r="BC118" s="26">
        <f t="shared" si="76"/>
        <v>0</v>
      </c>
      <c r="BD118" s="26">
        <v>0</v>
      </c>
      <c r="BE118" s="26">
        <v>0</v>
      </c>
      <c r="BF118" s="26">
        <f t="shared" si="77"/>
        <v>0</v>
      </c>
      <c r="BG118" s="26">
        <v>0</v>
      </c>
      <c r="BH118" s="26">
        <v>0</v>
      </c>
      <c r="BI118" s="26">
        <f t="shared" si="78"/>
        <v>0</v>
      </c>
      <c r="BJ118" s="26">
        <v>0</v>
      </c>
      <c r="BK118" s="26">
        <v>0</v>
      </c>
      <c r="BL118" s="26">
        <f t="shared" si="79"/>
        <v>0</v>
      </c>
      <c r="BM118" s="26">
        <v>0</v>
      </c>
      <c r="BN118" s="26">
        <v>0</v>
      </c>
      <c r="BO118" s="26">
        <f t="shared" si="80"/>
        <v>0</v>
      </c>
      <c r="BP118" s="26">
        <v>0</v>
      </c>
      <c r="BQ118" s="26">
        <v>0</v>
      </c>
      <c r="BR118" s="26">
        <f t="shared" si="81"/>
        <v>0</v>
      </c>
      <c r="BS118" s="26">
        <v>0</v>
      </c>
      <c r="BT118" s="26">
        <v>0</v>
      </c>
      <c r="BU118" s="26">
        <f t="shared" si="82"/>
        <v>0</v>
      </c>
      <c r="BV118" s="5">
        <f t="shared" si="69"/>
        <v>6947806</v>
      </c>
      <c r="BW118" s="5">
        <f t="shared" si="70"/>
        <v>935273.44</v>
      </c>
      <c r="BX118" s="4">
        <f t="shared" si="83"/>
        <v>7883079.4399999995</v>
      </c>
      <c r="BY118" s="5">
        <f>10937806-490000-500000-510000-520000-480000-490000-495000-505000</f>
        <v>6947806</v>
      </c>
      <c r="BZ118" s="5">
        <f>2413238.78-1530.28-9620.47-59573.62-73384.12-93984.08-100576.11-100766.17-97713.63-98412.11-93805.49-93812.54-88840.3-89178.06-84378.06-84378.06-79478.06-79478.06-74528.06-74528.06</f>
        <v>935273.43999999878</v>
      </c>
      <c r="CA118" s="5">
        <f t="shared" si="71"/>
        <v>7883079.4399999985</v>
      </c>
      <c r="CB118" s="5">
        <f>BX118-CA118</f>
        <v>0</v>
      </c>
    </row>
    <row r="119" spans="1:80" hidden="1">
      <c r="A119" s="5" t="s">
        <v>77</v>
      </c>
      <c r="F119" s="1"/>
      <c r="G119" s="1"/>
      <c r="H119" s="26">
        <v>775000</v>
      </c>
      <c r="I119" s="26">
        <f>170104.29*2</f>
        <v>340208.58</v>
      </c>
      <c r="J119" s="26">
        <f t="shared" si="58"/>
        <v>1115208.58</v>
      </c>
      <c r="K119" s="26">
        <v>795000</v>
      </c>
      <c r="L119" s="26">
        <f>160416.79*2</f>
        <v>320833.58</v>
      </c>
      <c r="M119" s="26">
        <f t="shared" si="59"/>
        <v>1115833.58</v>
      </c>
      <c r="N119" s="26">
        <v>805000</v>
      </c>
      <c r="O119" s="26">
        <f>150479.29*2</f>
        <v>300958.58</v>
      </c>
      <c r="P119" s="26">
        <f t="shared" si="60"/>
        <v>1105958.58</v>
      </c>
      <c r="Q119" s="26">
        <v>825000</v>
      </c>
      <c r="R119" s="26">
        <f>140416.79*2</f>
        <v>280833.58</v>
      </c>
      <c r="S119" s="26">
        <f t="shared" si="61"/>
        <v>1105833.58</v>
      </c>
      <c r="T119" s="26">
        <v>845000</v>
      </c>
      <c r="U119" s="26">
        <f>130104.29*2</f>
        <v>260208.58</v>
      </c>
      <c r="V119" s="26">
        <f t="shared" si="62"/>
        <v>1105208.58</v>
      </c>
      <c r="W119" s="26">
        <v>865000</v>
      </c>
      <c r="X119" s="26">
        <f>119541.79*2</f>
        <v>239083.58</v>
      </c>
      <c r="Y119" s="26">
        <f t="shared" si="63"/>
        <v>1104083.58</v>
      </c>
      <c r="Z119" s="26">
        <v>885000</v>
      </c>
      <c r="AA119" s="26">
        <f>108729.29*2</f>
        <v>217458.58</v>
      </c>
      <c r="AB119" s="26">
        <f t="shared" si="64"/>
        <v>1102458.58</v>
      </c>
      <c r="AC119" s="26">
        <v>905000</v>
      </c>
      <c r="AD119" s="26">
        <f>97666.79*2</f>
        <v>195333.58</v>
      </c>
      <c r="AE119" s="26">
        <f t="shared" si="65"/>
        <v>1100333.58</v>
      </c>
      <c r="AF119" s="26">
        <v>925000</v>
      </c>
      <c r="AG119" s="26">
        <f>86354.29*2</f>
        <v>172708.58</v>
      </c>
      <c r="AH119" s="26">
        <f t="shared" si="66"/>
        <v>1097708.58</v>
      </c>
      <c r="AI119" s="26">
        <v>945000</v>
      </c>
      <c r="AJ119" s="26">
        <f>74791.79*2</f>
        <v>149583.57999999999</v>
      </c>
      <c r="AK119" s="26">
        <f t="shared" si="84"/>
        <v>1094583.58</v>
      </c>
      <c r="AL119" s="26">
        <v>965000</v>
      </c>
      <c r="AM119" s="26">
        <f>62979.29*2</f>
        <v>125958.58</v>
      </c>
      <c r="AN119" s="26">
        <f t="shared" si="67"/>
        <v>1090958.58</v>
      </c>
      <c r="AO119" s="26">
        <v>985000</v>
      </c>
      <c r="AP119" s="26">
        <f>50916.79*2</f>
        <v>101833.58</v>
      </c>
      <c r="AQ119" s="26">
        <f t="shared" si="68"/>
        <v>1086833.58</v>
      </c>
      <c r="AR119" s="26">
        <v>1005000</v>
      </c>
      <c r="AS119" s="26">
        <f>38604.29*2</f>
        <v>77208.58</v>
      </c>
      <c r="AT119" s="26">
        <f t="shared" si="73"/>
        <v>1082208.58</v>
      </c>
      <c r="AU119" s="26">
        <v>1025000</v>
      </c>
      <c r="AV119" s="26">
        <f>26041.79*2</f>
        <v>52083.58</v>
      </c>
      <c r="AW119" s="26">
        <f>SUM(AU119:AV119)</f>
        <v>1077083.58</v>
      </c>
      <c r="AX119" s="26">
        <v>1058343</v>
      </c>
      <c r="AY119" s="26">
        <f>13229.29*2</f>
        <v>26458.58</v>
      </c>
      <c r="AZ119" s="26">
        <f>SUM(AX119:AY119)</f>
        <v>1084801.58</v>
      </c>
      <c r="BA119" s="26">
        <v>0</v>
      </c>
      <c r="BB119" s="26">
        <v>0</v>
      </c>
      <c r="BC119" s="26">
        <f>SUM(BA119:BB119)</f>
        <v>0</v>
      </c>
      <c r="BD119" s="26">
        <v>0</v>
      </c>
      <c r="BE119" s="26">
        <v>0</v>
      </c>
      <c r="BF119" s="26">
        <f>SUM(BD119:BE119)</f>
        <v>0</v>
      </c>
      <c r="BG119" s="26">
        <v>0</v>
      </c>
      <c r="BH119" s="26">
        <v>0</v>
      </c>
      <c r="BI119" s="26">
        <f>SUM(BG119:BH119)</f>
        <v>0</v>
      </c>
      <c r="BJ119" s="26">
        <v>0</v>
      </c>
      <c r="BK119" s="26">
        <v>0</v>
      </c>
      <c r="BL119" s="26">
        <f>SUM(BJ119:BK119)</f>
        <v>0</v>
      </c>
      <c r="BM119" s="26">
        <v>0</v>
      </c>
      <c r="BN119" s="26">
        <v>0</v>
      </c>
      <c r="BO119" s="26">
        <f>SUM(BM119:BN119)</f>
        <v>0</v>
      </c>
      <c r="BP119" s="26">
        <v>0</v>
      </c>
      <c r="BQ119" s="26">
        <v>0</v>
      </c>
      <c r="BR119" s="26">
        <f>SUM(BP119:BQ119)</f>
        <v>0</v>
      </c>
      <c r="BS119" s="26">
        <v>0</v>
      </c>
      <c r="BT119" s="26">
        <v>0</v>
      </c>
      <c r="BU119" s="26">
        <f>SUM(BS119:BT119)</f>
        <v>0</v>
      </c>
      <c r="BV119" s="5">
        <f t="shared" si="69"/>
        <v>12833343</v>
      </c>
      <c r="BW119" s="5">
        <f t="shared" si="70"/>
        <v>2520545.1200000006</v>
      </c>
      <c r="BX119" s="4">
        <f t="shared" si="83"/>
        <v>15353888.120000001</v>
      </c>
      <c r="BY119" s="5">
        <f>17243343-690000-710000-725000-745000-765000-775000</f>
        <v>12833343</v>
      </c>
      <c r="BZ119" s="5">
        <f>4759830.95-4150.24-80590.58-130603.46-166622.58-202780.14-201666.87-192768.49-192768.49-183705.99-183705.99-180047.63-179666.79-170104.29-170104.29</f>
        <v>2520545.1199999992</v>
      </c>
      <c r="CA119" s="5">
        <f t="shared" si="71"/>
        <v>15353888.119999999</v>
      </c>
      <c r="CB119" s="5">
        <f>BX119-CA119</f>
        <v>0</v>
      </c>
    </row>
    <row r="120" spans="1:80" hidden="1">
      <c r="A120" s="5" t="s">
        <v>86</v>
      </c>
      <c r="F120" s="1"/>
      <c r="G120" s="1"/>
      <c r="H120" s="26">
        <v>1310000</v>
      </c>
      <c r="I120" s="26">
        <f>1319625*2</f>
        <v>2639250</v>
      </c>
      <c r="J120" s="26">
        <f t="shared" si="58"/>
        <v>3949250</v>
      </c>
      <c r="K120" s="26">
        <v>1375000</v>
      </c>
      <c r="L120" s="26">
        <f>1286875*2</f>
        <v>2573750</v>
      </c>
      <c r="M120" s="26">
        <f>SUM(K120:L120)</f>
        <v>3948750</v>
      </c>
      <c r="N120" s="26">
        <v>1450000</v>
      </c>
      <c r="O120" s="26">
        <f>1252500*2</f>
        <v>2505000</v>
      </c>
      <c r="P120" s="26">
        <f>SUM(N120:O120)</f>
        <v>3955000</v>
      </c>
      <c r="Q120" s="26">
        <v>1530000</v>
      </c>
      <c r="R120" s="26">
        <f>1216250*2</f>
        <v>2432500</v>
      </c>
      <c r="S120" s="26">
        <f t="shared" si="61"/>
        <v>3962500</v>
      </c>
      <c r="T120" s="26">
        <v>1805000</v>
      </c>
      <c r="U120" s="26">
        <f>1178000*2</f>
        <v>2356000</v>
      </c>
      <c r="V120" s="26">
        <f>SUM(T120:U120)</f>
        <v>4161000</v>
      </c>
      <c r="W120" s="26">
        <v>1895000</v>
      </c>
      <c r="X120" s="26">
        <f>1132875*2</f>
        <v>2265750</v>
      </c>
      <c r="Y120" s="26">
        <f>SUM(W120:X120)</f>
        <v>4160750</v>
      </c>
      <c r="Z120" s="26">
        <v>1995000</v>
      </c>
      <c r="AA120" s="26">
        <f>1085500*2</f>
        <v>2171000</v>
      </c>
      <c r="AB120" s="26">
        <f>SUM(Z120:AA120)</f>
        <v>4166000</v>
      </c>
      <c r="AC120" s="26">
        <v>2095000</v>
      </c>
      <c r="AD120" s="26">
        <f>1035625*2</f>
        <v>2071250</v>
      </c>
      <c r="AE120" s="26">
        <f>SUM(AC120:AD120)</f>
        <v>4166250</v>
      </c>
      <c r="AF120" s="26">
        <v>2200000</v>
      </c>
      <c r="AG120" s="26">
        <f>983250*2</f>
        <v>1966500</v>
      </c>
      <c r="AH120" s="26">
        <f>SUM(AF120:AG120)</f>
        <v>4166500</v>
      </c>
      <c r="AI120" s="26">
        <v>2315000</v>
      </c>
      <c r="AJ120" s="26">
        <f>928250*2</f>
        <v>1856500</v>
      </c>
      <c r="AK120" s="26">
        <f t="shared" si="84"/>
        <v>4171500</v>
      </c>
      <c r="AL120" s="26">
        <v>2435000</v>
      </c>
      <c r="AM120" s="26">
        <f>870375*2</f>
        <v>1740750</v>
      </c>
      <c r="AN120" s="26">
        <f>SUM(AL120:AM120)</f>
        <v>4175750</v>
      </c>
      <c r="AO120" s="26">
        <v>2560000</v>
      </c>
      <c r="AP120" s="26">
        <f>809500*2</f>
        <v>1619000</v>
      </c>
      <c r="AQ120" s="26">
        <f>SUM(AO120:AP120)</f>
        <v>4179000</v>
      </c>
      <c r="AR120" s="26">
        <v>2690000</v>
      </c>
      <c r="AS120" s="26">
        <f>745500*2</f>
        <v>1491000</v>
      </c>
      <c r="AT120" s="26">
        <f>SUM(AR120:AS120)</f>
        <v>4181000</v>
      </c>
      <c r="AU120" s="26">
        <v>2830000</v>
      </c>
      <c r="AV120" s="26">
        <f>678250*2</f>
        <v>1356500</v>
      </c>
      <c r="AW120" s="26">
        <f>SUM(AU120:AV120)</f>
        <v>4186500</v>
      </c>
      <c r="AX120" s="26">
        <v>2975000</v>
      </c>
      <c r="AY120" s="26">
        <f>607500*2</f>
        <v>1215000</v>
      </c>
      <c r="AZ120" s="26">
        <f>SUM(AX120:AY120)</f>
        <v>4190000</v>
      </c>
      <c r="BA120" s="26">
        <v>3125000</v>
      </c>
      <c r="BB120" s="26">
        <f>533125*2</f>
        <v>1066250</v>
      </c>
      <c r="BC120" s="26">
        <f>SUM(BA120:BB120)</f>
        <v>4191250</v>
      </c>
      <c r="BD120" s="26">
        <v>3285000</v>
      </c>
      <c r="BE120" s="26">
        <f>455000*2</f>
        <v>910000</v>
      </c>
      <c r="BF120" s="26">
        <f>SUM(BD120:BE120)</f>
        <v>4195000</v>
      </c>
      <c r="BG120" s="26">
        <v>3455000</v>
      </c>
      <c r="BH120" s="26">
        <f>372875*2</f>
        <v>745750</v>
      </c>
      <c r="BI120" s="26">
        <f>SUM(BG120:BH120)</f>
        <v>4200750</v>
      </c>
      <c r="BJ120" s="26">
        <v>3630000</v>
      </c>
      <c r="BK120" s="26">
        <f>286500*2</f>
        <v>573000</v>
      </c>
      <c r="BL120" s="26">
        <f>SUM(BJ120:BK120)</f>
        <v>4203000</v>
      </c>
      <c r="BM120" s="26">
        <v>3815000</v>
      </c>
      <c r="BN120" s="26">
        <f>195750*2</f>
        <v>391500</v>
      </c>
      <c r="BO120" s="26">
        <f>SUM(BM120:BN120)</f>
        <v>4206500</v>
      </c>
      <c r="BP120" s="26">
        <v>4015000</v>
      </c>
      <c r="BQ120" s="26">
        <f>100375*2</f>
        <v>200750</v>
      </c>
      <c r="BR120" s="26">
        <f>SUM(BP120:BQ120)</f>
        <v>4215750</v>
      </c>
      <c r="BS120" s="26">
        <v>0</v>
      </c>
      <c r="BT120" s="26">
        <v>0</v>
      </c>
      <c r="BU120" s="26">
        <f>SUM(BS120:BT120)</f>
        <v>0</v>
      </c>
      <c r="BV120" s="5">
        <f t="shared" si="69"/>
        <v>51475000</v>
      </c>
      <c r="BW120" s="5">
        <f t="shared" si="70"/>
        <v>31507750</v>
      </c>
      <c r="BX120" s="4">
        <f t="shared" si="83"/>
        <v>82982750</v>
      </c>
      <c r="BY120" s="5">
        <f>55225000-1190000-1250000-1310000</f>
        <v>51475000</v>
      </c>
      <c r="BZ120" s="5">
        <f>43782555.56-1411305.56-1380625-1380625-1380625-1380625-1350875-1350875-1319625-1319625</f>
        <v>31507750</v>
      </c>
      <c r="CA120" s="5">
        <f>+BY120+BZ120</f>
        <v>82982750</v>
      </c>
      <c r="CB120" s="5">
        <f>BX120-CA120</f>
        <v>0</v>
      </c>
    </row>
    <row r="121" spans="1:80" hidden="1">
      <c r="A121" s="5" t="s">
        <v>87</v>
      </c>
      <c r="F121" s="1"/>
      <c r="G121" s="1"/>
      <c r="J121" s="26">
        <f t="shared" si="58"/>
        <v>0</v>
      </c>
      <c r="K121" s="40">
        <v>3500000</v>
      </c>
      <c r="M121" s="26">
        <f>SUM(K121:L121)</f>
        <v>3500000</v>
      </c>
      <c r="P121" s="26">
        <f>SUM(N121:O121)</f>
        <v>0</v>
      </c>
      <c r="S121" s="26">
        <f t="shared" si="61"/>
        <v>0</v>
      </c>
      <c r="V121" s="26">
        <f>SUM(T121:U121)</f>
        <v>0</v>
      </c>
      <c r="Y121" s="26">
        <f>SUM(W121:X121)</f>
        <v>0</v>
      </c>
      <c r="AB121" s="26">
        <f>SUM(Z121:AA121)</f>
        <v>0</v>
      </c>
      <c r="AE121" s="26">
        <f>SUM(AC121:AD121)</f>
        <v>0</v>
      </c>
      <c r="AH121" s="26">
        <f>SUM(AF121:AG121)</f>
        <v>0</v>
      </c>
      <c r="AK121" s="26">
        <f t="shared" si="84"/>
        <v>0</v>
      </c>
      <c r="AN121" s="26">
        <f>SUM(AL121:AM121)</f>
        <v>0</v>
      </c>
      <c r="AQ121" s="26">
        <f>SUM(AO121:AP121)</f>
        <v>0</v>
      </c>
      <c r="AT121" s="26">
        <f>SUM(AR121:AS121)</f>
        <v>0</v>
      </c>
      <c r="AW121" s="26">
        <f>SUM(AU121:AV121)</f>
        <v>0</v>
      </c>
      <c r="AZ121" s="26">
        <f>SUM(AX121:AY121)</f>
        <v>0</v>
      </c>
      <c r="BC121" s="26">
        <f>SUM(BA121:BB121)</f>
        <v>0</v>
      </c>
      <c r="BF121" s="26">
        <f>SUM(BD121:BE121)</f>
        <v>0</v>
      </c>
      <c r="BI121" s="26">
        <f>SUM(BG121:BH121)</f>
        <v>0</v>
      </c>
      <c r="BL121" s="26">
        <f>SUM(BJ121:BK121)</f>
        <v>0</v>
      </c>
      <c r="BO121" s="26">
        <f>SUM(BM121:BN121)</f>
        <v>0</v>
      </c>
      <c r="BR121" s="26">
        <f>SUM(BP121:BQ121)</f>
        <v>0</v>
      </c>
      <c r="BU121" s="26">
        <f>SUM(BS121:BT121)</f>
        <v>0</v>
      </c>
      <c r="BV121" s="5">
        <f t="shared" si="69"/>
        <v>3500000</v>
      </c>
      <c r="BW121" s="5">
        <f t="shared" si="70"/>
        <v>0</v>
      </c>
      <c r="BX121" s="4">
        <f>SUM(BV121:BW121)</f>
        <v>3500000</v>
      </c>
      <c r="BY121" s="5">
        <f>3500000</f>
        <v>3500000</v>
      </c>
      <c r="BZ121" s="5">
        <v>0</v>
      </c>
      <c r="CA121" s="5">
        <f>+BY121+BZ121</f>
        <v>3500000</v>
      </c>
      <c r="CB121" s="5">
        <f>BX121-CA121</f>
        <v>0</v>
      </c>
    </row>
    <row r="122" spans="1:80" hidden="1">
      <c r="A122" s="5" t="s">
        <v>114</v>
      </c>
      <c r="F122" s="1"/>
      <c r="G122" s="1"/>
      <c r="H122" s="40">
        <v>400000</v>
      </c>
      <c r="I122" s="40">
        <f>154402.5*2</f>
        <v>308805</v>
      </c>
      <c r="J122" s="40">
        <f t="shared" si="58"/>
        <v>708805</v>
      </c>
      <c r="K122" s="40">
        <v>405000</v>
      </c>
      <c r="L122" s="40">
        <f>150942.5*2</f>
        <v>301885</v>
      </c>
      <c r="M122" s="40">
        <f>SUM(K122:L122)</f>
        <v>706885</v>
      </c>
      <c r="N122" s="40">
        <v>410000</v>
      </c>
      <c r="O122" s="40">
        <f>147439.25*2</f>
        <v>294878.5</v>
      </c>
      <c r="P122" s="40">
        <f>SUM(N122:O122)</f>
        <v>704878.5</v>
      </c>
      <c r="Q122" s="40">
        <v>415000</v>
      </c>
      <c r="R122" s="40">
        <f>143892.75*2</f>
        <v>287785.5</v>
      </c>
      <c r="S122" s="40">
        <f t="shared" si="61"/>
        <v>702785.5</v>
      </c>
      <c r="T122" s="40">
        <v>420000</v>
      </c>
      <c r="U122" s="40">
        <f>140303*2</f>
        <v>280606</v>
      </c>
      <c r="V122" s="40">
        <f>SUM(T122:U122)</f>
        <v>700606</v>
      </c>
      <c r="W122" s="40">
        <v>430000</v>
      </c>
      <c r="X122" s="40">
        <f>136670*2</f>
        <v>273340</v>
      </c>
      <c r="Y122" s="40">
        <f>SUM(W122:X122)</f>
        <v>703340</v>
      </c>
      <c r="Z122" s="40">
        <v>435000</v>
      </c>
      <c r="AA122" s="40">
        <f>132950.5*2</f>
        <v>265901</v>
      </c>
      <c r="AB122" s="40">
        <f>SUM(Z122:AA122)</f>
        <v>700901</v>
      </c>
      <c r="AC122" s="40">
        <v>440000</v>
      </c>
      <c r="AD122" s="40">
        <f>129187.75*2</f>
        <v>258375.5</v>
      </c>
      <c r="AE122" s="40">
        <f>SUM(AC122:AD122)</f>
        <v>698375.5</v>
      </c>
      <c r="AF122" s="40">
        <v>445000</v>
      </c>
      <c r="AG122" s="40">
        <f>125381.75*2</f>
        <v>250763.5</v>
      </c>
      <c r="AH122" s="40">
        <f>SUM(AF122:AG122)</f>
        <v>695763.5</v>
      </c>
      <c r="AI122" s="40">
        <v>455000</v>
      </c>
      <c r="AJ122" s="40">
        <f>121532.5*2</f>
        <v>243065</v>
      </c>
      <c r="AK122" s="40">
        <f>SUM(AI122:AJ122)</f>
        <v>698065</v>
      </c>
      <c r="AL122" s="40">
        <v>460000</v>
      </c>
      <c r="AM122" s="40">
        <f>117596.75*2</f>
        <v>235193.5</v>
      </c>
      <c r="AN122" s="40">
        <f>SUM(AL122:AM122)</f>
        <v>695193.5</v>
      </c>
      <c r="AO122" s="40">
        <v>465000</v>
      </c>
      <c r="AP122" s="40">
        <f>113617.75*2</f>
        <v>227235.5</v>
      </c>
      <c r="AQ122" s="40">
        <f>SUM(AO122:AP122)</f>
        <v>692235.5</v>
      </c>
      <c r="AR122" s="40">
        <v>470000</v>
      </c>
      <c r="AS122" s="40">
        <f>109595.5*2</f>
        <v>219191</v>
      </c>
      <c r="AT122" s="40">
        <f>SUM(AR122:AS122)</f>
        <v>689191</v>
      </c>
      <c r="AU122" s="40">
        <v>480000</v>
      </c>
      <c r="AV122" s="40">
        <f>105530*2</f>
        <v>211060</v>
      </c>
      <c r="AW122" s="40">
        <f>SUM(AU122:AV122)</f>
        <v>691060</v>
      </c>
      <c r="AX122" s="40">
        <v>485000</v>
      </c>
      <c r="AY122" s="40">
        <f>101378*2</f>
        <v>202756</v>
      </c>
      <c r="AZ122" s="40">
        <f>SUM(AX122:AY122)</f>
        <v>687756</v>
      </c>
      <c r="BA122" s="40">
        <v>490000</v>
      </c>
      <c r="BB122" s="40">
        <f>97182.75*2</f>
        <v>194365.5</v>
      </c>
      <c r="BC122" s="40">
        <f>SUM(BA122:BB122)</f>
        <v>684365.5</v>
      </c>
      <c r="BD122" s="40">
        <v>500000</v>
      </c>
      <c r="BE122" s="40">
        <f>92944.25*2</f>
        <v>185888.5</v>
      </c>
      <c r="BF122" s="40">
        <f>SUM(BD122:BE122)</f>
        <v>685888.5</v>
      </c>
      <c r="BG122" s="40">
        <v>505000</v>
      </c>
      <c r="BH122" s="40">
        <f>88619.25*2</f>
        <v>177238.5</v>
      </c>
      <c r="BI122" s="40">
        <f>SUM(BG122:BH122)</f>
        <v>682238.5</v>
      </c>
      <c r="BJ122" s="40">
        <v>515000</v>
      </c>
      <c r="BK122" s="40">
        <f>84251*2</f>
        <v>168502</v>
      </c>
      <c r="BL122" s="40">
        <f>SUM(BJ122:BK122)</f>
        <v>683502</v>
      </c>
      <c r="BM122" s="40">
        <v>520000</v>
      </c>
      <c r="BN122" s="40">
        <f>79796.25*2</f>
        <v>159592.5</v>
      </c>
      <c r="BO122" s="40">
        <f>SUM(BM122:BN122)</f>
        <v>679592.5</v>
      </c>
      <c r="BP122" s="40">
        <v>525000</v>
      </c>
      <c r="BQ122" s="40">
        <f>75298.25*2</f>
        <v>150596.5</v>
      </c>
      <c r="BR122" s="40">
        <f>SUM(BP122:BQ122)</f>
        <v>675596.5</v>
      </c>
      <c r="BS122" s="40">
        <f>535000+540000+550000+555000+565000+570000+580000+585000+595000+605000+610000+620000+630000+640000</f>
        <v>8180000</v>
      </c>
      <c r="BT122" s="40">
        <f>70757*2+66129.25*2+61458.25*2+56700.75*2+51900*2+47012.75*2+42082.25*2+37065.25*2+32005*2+26858.25*2+21625*2+16348.5*2+10985.5*2+5536*2</f>
        <v>1092927.5</v>
      </c>
      <c r="BU122" s="40">
        <f>SUM(BS122:BT122)</f>
        <v>9272927.5</v>
      </c>
      <c r="BV122" s="5">
        <f t="shared" si="69"/>
        <v>17450000</v>
      </c>
      <c r="BW122" s="5">
        <f t="shared" si="70"/>
        <v>5681147</v>
      </c>
      <c r="BX122" s="4">
        <f>SUM(BV122:BW122)</f>
        <v>23131147</v>
      </c>
      <c r="BY122" s="5">
        <f>17850000-400000</f>
        <v>17450000</v>
      </c>
      <c r="BZ122" s="5">
        <f>6213233.91-68879.41-154402.5-154402.5-154402.5</f>
        <v>5681147</v>
      </c>
      <c r="CA122" s="5">
        <f>+BY122+BZ122</f>
        <v>23131147</v>
      </c>
      <c r="CB122" s="5">
        <f>BX122-CA122</f>
        <v>0</v>
      </c>
    </row>
    <row r="123" spans="1:80" hidden="1">
      <c r="F123" s="1"/>
      <c r="G123" s="1"/>
    </row>
    <row r="124" spans="1:80" hidden="1">
      <c r="F124" s="1"/>
      <c r="G124" s="1"/>
    </row>
    <row r="125" spans="1:80">
      <c r="F125" s="1"/>
      <c r="G125" s="1"/>
    </row>
    <row r="126" spans="1:80">
      <c r="F126" s="1"/>
      <c r="G126" s="1"/>
    </row>
    <row r="127" spans="1:80">
      <c r="F127" s="1"/>
      <c r="G127" s="1"/>
    </row>
    <row r="128" spans="1:80">
      <c r="F128" s="1"/>
      <c r="G128" s="1"/>
    </row>
    <row r="129" spans="6:7">
      <c r="F129" s="1"/>
      <c r="G129" s="1"/>
    </row>
  </sheetData>
  <mergeCells count="3">
    <mergeCell ref="I95:K95"/>
    <mergeCell ref="L95:N95"/>
    <mergeCell ref="O95:Q95"/>
  </mergeCells>
  <printOptions verticalCentered="1"/>
  <pageMargins left="0.25" right="0.25" top="0.1" bottom="0.1" header="0.5" footer="0.01"/>
  <pageSetup paperSize="5" scale="63" orientation="landscape" r:id="rId1"/>
  <headerFooter alignWithMargins="0">
    <oddFooter>&amp;L&amp;Z&amp;F&amp;R&amp;D</oddFooter>
  </headerFooter>
  <rowBreaks count="2" manualBreakCount="2">
    <brk id="33" max="16383" man="1"/>
    <brk id="72" max="101" man="1"/>
  </rowBreaks>
  <colBreaks count="8" manualBreakCount="8">
    <brk id="7" max="128" man="1"/>
    <brk id="16" max="128" man="1"/>
    <brk id="25" max="128" man="1"/>
    <brk id="34" max="128" man="1"/>
    <brk id="43" max="128" man="1"/>
    <brk id="52" max="128" man="1"/>
    <brk id="61" max="128" man="1"/>
    <brk id="73" max="14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2023</vt:lpstr>
      <vt:lpstr>'2023'!Print_Area</vt:lpstr>
      <vt:lpstr>'2023'!Print_Titles</vt:lpstr>
    </vt:vector>
  </TitlesOfParts>
  <Company>Plante &amp; Moran,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TAYLOR, CITY OF</dc:title>
  <dc:subject>LTD AMORTIZATION SCHEDULE</dc:subject>
  <dc:creator>Mohamad Hojeije</dc:creator>
  <cp:lastModifiedBy>Rachel Cicotte</cp:lastModifiedBy>
  <cp:lastPrinted>2022-09-20T14:25:13Z</cp:lastPrinted>
  <dcterms:created xsi:type="dcterms:W3CDTF">1997-10-29T18:50:00Z</dcterms:created>
  <dcterms:modified xsi:type="dcterms:W3CDTF">2026-02-03T14:54:15Z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2026-02-03T14:54:15Z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14dabda5-78b6-4ab0-8eeb-c20279a340ea</vt:lpwstr>
  </property>
  <property fmtid="{D5CDD505-2E9C-101B-9397-08002B2CF9AE}" pid="7" name="MSIP_Label_defa4170-0d19-0005-0004-bc88714345d2_ActionId">
    <vt:lpwstr>0d2c21cb-7678-4b16-859b-f1c7e2c2299d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